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userName="s273689" algorithmName="SHA-512" hashValue="p1QZGevXMxHozm9Py04Xmo55/CFBP7LkQvtkbj7FXt3uV7JkEVzqJfaJPj+MaOEynldL8miFC+9ZXSDjJuqnQQ==" saltValue="Y85O2y/kcKe0Tov7scJUaQ==" spinCount="100000"/>
  <workbookPr filterPrivacy="1" codeName="ThisWorkbook" defaultThemeVersion="124226"/>
  <xr:revisionPtr revIDLastSave="0" documentId="8_{3135BE76-D7B7-4E6C-A528-DEE35D2C75DA}" xr6:coauthVersionLast="47" xr6:coauthVersionMax="47" xr10:uidLastSave="{00000000-0000-0000-0000-000000000000}"/>
  <bookViews>
    <workbookView xWindow="-120" yWindow="-120" windowWidth="29040" windowHeight="15840" tabRatio="938"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 B-3-A Remeas Suprt" sheetId="43"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Interest(2)" sheetId="41" r:id="rId25"/>
  </sheets>
  <externalReferences>
    <externalReference r:id="rId26"/>
    <externalReference r:id="rId27"/>
    <externalReference r:id="rId28"/>
    <externalReference r:id="rId29"/>
    <externalReference r:id="rId30"/>
    <externalReference r:id="rId31"/>
    <externalReference r:id="rId32"/>
  </externalReference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'[1]SWP TCOS 2008 13 Month'!$I$317:$J$328</definedName>
    <definedName name="APCO" localSheetId="6">#REF!</definedName>
    <definedName name="APCO">#REF!</definedName>
    <definedName name="APCo_Hist_Allocators" localSheetId="20">[2]TCOS!#REF!</definedName>
    <definedName name="APCo_Hist_Allocators" localSheetId="1">[3]TCOS!#REF!</definedName>
    <definedName name="APCo_Hist_Allocators" localSheetId="6">[4]TCOS!#REF!</definedName>
    <definedName name="APCo_Hist_Allocators" localSheetId="13">#REF!</definedName>
    <definedName name="APCo_Hist_Allocators" localSheetId="18">[5]TCOS!#REF!</definedName>
    <definedName name="APCo_Hist_Allocators">TCOS!#REF!</definedName>
    <definedName name="APCo_Proj_Allocators" localSheetId="6">#REF!</definedName>
    <definedName name="APCo_Proj_Allocators" localSheetId="13">#REF!</definedName>
    <definedName name="APCo_Proj_Allocators">#REF!</definedName>
    <definedName name="APCo_TU_Allocators" localSheetId="6">#REF!</definedName>
    <definedName name="APCo_TU_Allocators" localSheetId="13">#REF!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#REF!</definedName>
    <definedName name="HEADB">#REF!</definedName>
    <definedName name="HEADC">#REF!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_Allocators" localSheetId="20">[2]TCOS!#REF!</definedName>
    <definedName name="IM_Allocators" localSheetId="1">[3]TCOS!#REF!</definedName>
    <definedName name="IM_Allocators" localSheetId="6">[4]TCOS!#REF!</definedName>
    <definedName name="IM_Allocators" localSheetId="13">#REF!</definedName>
    <definedName name="IM_Allocators" localSheetId="18">[5]TCOS!#REF!</definedName>
    <definedName name="IM_Allocators">TCOS!#REF!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_A" localSheetId="20">'[2]WS I RESERVED'!#REF!</definedName>
    <definedName name="M_A" localSheetId="1">'[3]WS I RESERVED'!#REF!</definedName>
    <definedName name="M_A" localSheetId="6">'[4]WS I RESERVED'!#REF!</definedName>
    <definedName name="M_A" localSheetId="13">#REF!</definedName>
    <definedName name="M_A" localSheetId="18">'[5]WS I RESERVED'!#REF!</definedName>
    <definedName name="M_A">'WS I RESERVED'!#REF!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[6]TCOS!$J$105</definedName>
    <definedName name="NP_h" localSheetId="20">[2]TCOS!$J$104</definedName>
    <definedName name="NP_h" localSheetId="1">[3]TCOS!$J$102</definedName>
    <definedName name="NP_h" localSheetId="6">[4]TCOS!$J$82</definedName>
    <definedName name="NP_h" localSheetId="13">'[7]APCo Historic TCOS'!$J$100</definedName>
    <definedName name="NP_h" localSheetId="18">[5]TCOS!$J$102</definedName>
    <definedName name="NP_h">TCOS!$J$82</definedName>
    <definedName name="NP_h1" localSheetId="6">#REF!</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#REF!</definedName>
    <definedName name="PAGEB">#REF!</definedName>
    <definedName name="PAGEC">#REF!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0">TCOS!$A$1:$L$368</definedName>
    <definedName name="_xlnm.Print_Area" localSheetId="20">'Worksheet O'!$A$1:$D$37</definedName>
    <definedName name="_xlnm.Print_Area" localSheetId="2">'WS B ADIT &amp; ITC'!$A$1:$I$56</definedName>
    <definedName name="_xlnm.Print_Area" localSheetId="6">'WS B-3-A Remeas Suprt'!$A$1:$N$36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Taxes'!$A$1:$M$71</definedName>
    <definedName name="_xlnm.Print_Area" localSheetId="13">'WS H-p2 Detail of Tax Amts'!$A$1:$I$112</definedName>
    <definedName name="_xlnm.Print_Area" localSheetId="14">'WS I RESERVED'!$A$1:$J$15</definedName>
    <definedName name="_xlnm.Print_Area" localSheetId="15">'WS J PROJECTED RTEP RR'!$A$1:$O$977</definedName>
    <definedName name="_xlnm.Print_Area" localSheetId="17">'WS L RESERVED'!$A$3:$F$9</definedName>
    <definedName name="_xlnm.Print_Area" localSheetId="19">'WS N - Sale of Plant Held'!$A$3:$U$35</definedName>
    <definedName name="_xlnm.Print_Area" localSheetId="21">'WS P Dep. Rates'!$A$1:$F$39</definedName>
    <definedName name="_xlnm.Print_Area" localSheetId="22">'WS Q Cap Structure'!$A$1:$J$239</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 localSheetId="13">#REF!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Amts'!$A$3:$F$104</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E86" i="31" l="1"/>
  <c r="O1029" i="13" l="1"/>
  <c r="M1029" i="13"/>
  <c r="O1028" i="13"/>
  <c r="M1028" i="13"/>
  <c r="O1027" i="13"/>
  <c r="M1027" i="13"/>
  <c r="O1026" i="13"/>
  <c r="M1026" i="13"/>
  <c r="O1025" i="13"/>
  <c r="M1025" i="13"/>
  <c r="O1024" i="13"/>
  <c r="M1024" i="13"/>
  <c r="O1023" i="13"/>
  <c r="M1023" i="13"/>
  <c r="O1022" i="13"/>
  <c r="M1022" i="13"/>
  <c r="O1021" i="13"/>
  <c r="M1021" i="13"/>
  <c r="O1020" i="13"/>
  <c r="M1020" i="13"/>
  <c r="O1019" i="13"/>
  <c r="M1019" i="13"/>
  <c r="O1018" i="13"/>
  <c r="M1018" i="13"/>
  <c r="O1017" i="13"/>
  <c r="M1017" i="13"/>
  <c r="O1016" i="13"/>
  <c r="M1016" i="13"/>
  <c r="O1015" i="13"/>
  <c r="M1015" i="13"/>
  <c r="O1014" i="13"/>
  <c r="M1014" i="13"/>
  <c r="O1013" i="13"/>
  <c r="M1013" i="13"/>
  <c r="O1012" i="13"/>
  <c r="M1012" i="13"/>
  <c r="O1011" i="13"/>
  <c r="M1011" i="13"/>
  <c r="O1010" i="13"/>
  <c r="M1010" i="13"/>
  <c r="O1009" i="13"/>
  <c r="M1009" i="13"/>
  <c r="O1008" i="13"/>
  <c r="M1008" i="13"/>
  <c r="O1007" i="13"/>
  <c r="M1007" i="13"/>
  <c r="O1006" i="13"/>
  <c r="M1006" i="13"/>
  <c r="O1005" i="13"/>
  <c r="M1005" i="13"/>
  <c r="O1004" i="13"/>
  <c r="M1004" i="13"/>
  <c r="O1003" i="13"/>
  <c r="M1003" i="13"/>
  <c r="O1002" i="13"/>
  <c r="M1002" i="13"/>
  <c r="O1001" i="13"/>
  <c r="M1001" i="13"/>
  <c r="O1000" i="13"/>
  <c r="M1000" i="13"/>
  <c r="O999" i="13"/>
  <c r="M999" i="13"/>
  <c r="O998" i="13"/>
  <c r="M998" i="13"/>
  <c r="O997" i="13"/>
  <c r="M997" i="13"/>
  <c r="O996" i="13"/>
  <c r="M996" i="13"/>
  <c r="O995" i="13"/>
  <c r="M995" i="13"/>
  <c r="O994" i="13"/>
  <c r="M994" i="13"/>
  <c r="O993" i="13"/>
  <c r="M993" i="13"/>
  <c r="O992" i="13"/>
  <c r="M992" i="13"/>
  <c r="O991" i="13"/>
  <c r="M991" i="13"/>
  <c r="O990" i="13"/>
  <c r="M990" i="13"/>
  <c r="O989" i="13"/>
  <c r="M989" i="13"/>
  <c r="O988" i="13"/>
  <c r="M988" i="13"/>
  <c r="O987" i="13"/>
  <c r="M987" i="13"/>
  <c r="O986" i="13"/>
  <c r="M986" i="13"/>
  <c r="O985" i="13"/>
  <c r="M985" i="13"/>
  <c r="O984" i="13"/>
  <c r="M984" i="13"/>
  <c r="O983" i="13"/>
  <c r="M983" i="13"/>
  <c r="O982" i="13"/>
  <c r="M982" i="13"/>
  <c r="O981" i="13"/>
  <c r="M981" i="13"/>
  <c r="O980" i="13"/>
  <c r="M980" i="13"/>
  <c r="O979" i="13"/>
  <c r="M979" i="13"/>
  <c r="O978" i="13"/>
  <c r="M978" i="13"/>
  <c r="O977" i="13"/>
  <c r="M977" i="13"/>
  <c r="O976" i="13"/>
  <c r="M976" i="13"/>
  <c r="O972" i="13"/>
  <c r="M972" i="13"/>
  <c r="O971" i="13"/>
  <c r="M971" i="13"/>
  <c r="O970" i="13"/>
  <c r="M970" i="13"/>
  <c r="D970" i="13"/>
  <c r="C970" i="13"/>
  <c r="C971" i="13" s="1"/>
  <c r="C972" i="13" s="1"/>
  <c r="C973" i="13" s="1"/>
  <c r="C974" i="13" s="1"/>
  <c r="C975" i="13" s="1"/>
  <c r="C976" i="13" s="1"/>
  <c r="C977" i="13" s="1"/>
  <c r="C978" i="13" s="1"/>
  <c r="C979" i="13" s="1"/>
  <c r="C980" i="13" s="1"/>
  <c r="C981" i="13" s="1"/>
  <c r="C982" i="13" s="1"/>
  <c r="C983" i="13" s="1"/>
  <c r="C984" i="13" s="1"/>
  <c r="C985" i="13" s="1"/>
  <c r="C986" i="13" s="1"/>
  <c r="C987" i="13" s="1"/>
  <c r="C988" i="13" s="1"/>
  <c r="C989" i="13" s="1"/>
  <c r="C990" i="13" s="1"/>
  <c r="C991" i="13" s="1"/>
  <c r="C992" i="13" s="1"/>
  <c r="C993" i="13" s="1"/>
  <c r="C994" i="13" s="1"/>
  <c r="C995" i="13" s="1"/>
  <c r="C996" i="13" s="1"/>
  <c r="C997" i="13" s="1"/>
  <c r="C998" i="13" s="1"/>
  <c r="C999" i="13" s="1"/>
  <c r="L965" i="13"/>
  <c r="J964" i="13"/>
  <c r="J963" i="13"/>
  <c r="P951" i="13"/>
  <c r="O951" i="13"/>
  <c r="P1015" i="13" l="1"/>
  <c r="P978" i="13"/>
  <c r="P982" i="13"/>
  <c r="P1010" i="13"/>
  <c r="P1014" i="13"/>
  <c r="P1023" i="13"/>
  <c r="P992" i="13"/>
  <c r="P1008" i="13"/>
  <c r="P1016" i="13"/>
  <c r="P1024" i="13"/>
  <c r="P1028" i="13"/>
  <c r="P972" i="13"/>
  <c r="P1007" i="13"/>
  <c r="P996" i="13"/>
  <c r="P1000" i="13"/>
  <c r="P985" i="13"/>
  <c r="P1017" i="13"/>
  <c r="P1021" i="13"/>
  <c r="P999" i="13"/>
  <c r="P1003" i="13"/>
  <c r="P976" i="13"/>
  <c r="P984" i="13"/>
  <c r="P983" i="13"/>
  <c r="P991" i="13"/>
  <c r="P1022" i="13"/>
  <c r="P970" i="13"/>
  <c r="P980" i="13"/>
  <c r="P987" i="13"/>
  <c r="P994" i="13"/>
  <c r="P998" i="13"/>
  <c r="P1001" i="13"/>
  <c r="P1012" i="13"/>
  <c r="P1019" i="13"/>
  <c r="P1026" i="13"/>
  <c r="P971" i="13"/>
  <c r="P977" i="13"/>
  <c r="P988" i="13"/>
  <c r="P995" i="13"/>
  <c r="P1002" i="13"/>
  <c r="P1006" i="13"/>
  <c r="P1009" i="13"/>
  <c r="P1020" i="13"/>
  <c r="P1027" i="13"/>
  <c r="P979" i="13"/>
  <c r="P986" i="13"/>
  <c r="P990" i="13"/>
  <c r="P993" i="13"/>
  <c r="P1004" i="13"/>
  <c r="P1011" i="13"/>
  <c r="P1018" i="13"/>
  <c r="P1025" i="13"/>
  <c r="P1029" i="13"/>
  <c r="C1000" i="13"/>
  <c r="C1001" i="13" s="1"/>
  <c r="C1002" i="13" s="1"/>
  <c r="C1003" i="13" s="1"/>
  <c r="C1004" i="13" s="1"/>
  <c r="C1005" i="13" s="1"/>
  <c r="C1006" i="13" s="1"/>
  <c r="C1007" i="13" s="1"/>
  <c r="C1008" i="13" s="1"/>
  <c r="C1009" i="13" s="1"/>
  <c r="C1010" i="13" s="1"/>
  <c r="C1011" i="13" s="1"/>
  <c r="C1012" i="13" s="1"/>
  <c r="C1013" i="13" s="1"/>
  <c r="C1014" i="13" s="1"/>
  <c r="C1015" i="13" s="1"/>
  <c r="C1016" i="13" s="1"/>
  <c r="C1017" i="13" s="1"/>
  <c r="C1018" i="13" s="1"/>
  <c r="C1019" i="13" s="1"/>
  <c r="C1020" i="13" s="1"/>
  <c r="C1021" i="13" s="1"/>
  <c r="C1022" i="13" s="1"/>
  <c r="C1023" i="13" s="1"/>
  <c r="C1024" i="13" s="1"/>
  <c r="C1025" i="13" s="1"/>
  <c r="C1026" i="13" s="1"/>
  <c r="C1027" i="13" s="1"/>
  <c r="C1028" i="13" s="1"/>
  <c r="C1029" i="13" s="1"/>
  <c r="N958" i="13"/>
  <c r="P997" i="13"/>
  <c r="L957" i="13"/>
  <c r="M958" i="13"/>
  <c r="P981" i="13"/>
  <c r="P1005" i="13"/>
  <c r="P1013" i="13"/>
  <c r="P989" i="13"/>
  <c r="O958" i="13" l="1"/>
  <c r="F20" i="43" l="1"/>
  <c r="D20" i="43"/>
  <c r="L15" i="43"/>
  <c r="O15" i="43" s="1"/>
  <c r="H15" i="43"/>
  <c r="A15" i="43"/>
  <c r="A18" i="43" s="1"/>
  <c r="A20" i="43" s="1"/>
  <c r="J13" i="43"/>
  <c r="L13" i="43" s="1"/>
  <c r="O13" i="43" s="1"/>
  <c r="H13" i="43"/>
  <c r="J18" i="43" l="1"/>
  <c r="L18" i="43" s="1"/>
  <c r="L20" i="43" s="1"/>
  <c r="J20" i="43" l="1"/>
  <c r="O18" i="43"/>
  <c r="O20" i="43" s="1"/>
  <c r="B8" i="35" l="1"/>
  <c r="B8" i="41"/>
  <c r="E69" i="9" l="1"/>
  <c r="K17" i="8"/>
  <c r="I65" i="6"/>
  <c r="K65" i="6" s="1"/>
  <c r="E65" i="6" s="1"/>
  <c r="I64" i="6"/>
  <c r="K64" i="6" s="1"/>
  <c r="E64" i="6" s="1"/>
  <c r="I63" i="6"/>
  <c r="K63" i="6" s="1"/>
  <c r="E63" i="6" s="1"/>
  <c r="K26" i="37"/>
  <c r="I26" i="37"/>
  <c r="C26" i="37"/>
  <c r="K59" i="36"/>
  <c r="J59" i="36"/>
  <c r="I59" i="36"/>
  <c r="D59" i="36"/>
  <c r="F60" i="36" s="1"/>
  <c r="D60" i="36" s="1"/>
  <c r="C59" i="36"/>
  <c r="K44" i="36"/>
  <c r="J44" i="36"/>
  <c r="I44" i="36"/>
  <c r="D44" i="36"/>
  <c r="F45" i="36" s="1"/>
  <c r="D45" i="36" s="1"/>
  <c r="C44" i="36"/>
  <c r="N69" i="36"/>
  <c r="N51" i="36"/>
  <c r="G59" i="36" l="1"/>
  <c r="G44" i="36"/>
  <c r="E27" i="37"/>
  <c r="C27" i="37" s="1"/>
  <c r="E60" i="36"/>
  <c r="C60" i="36" s="1"/>
  <c r="G60" i="36" s="1"/>
  <c r="E45" i="36"/>
  <c r="C45" i="36" s="1"/>
  <c r="G45" i="36" s="1"/>
  <c r="D48" i="38" l="1"/>
  <c r="C48" i="38"/>
  <c r="A19" i="9" l="1"/>
  <c r="A20" i="9" s="1"/>
  <c r="A21" i="9" s="1"/>
  <c r="A24" i="9" s="1"/>
  <c r="A25" i="9" s="1"/>
  <c r="A26" i="9" s="1"/>
  <c r="A27" i="9" s="1"/>
  <c r="A28" i="9" s="1"/>
  <c r="A29" i="9" s="1"/>
  <c r="A30" i="9" s="1"/>
  <c r="A31" i="9" s="1"/>
  <c r="A32" i="9" s="1"/>
  <c r="A33" i="9" s="1"/>
  <c r="A36" i="9" s="1"/>
  <c r="A37" i="9" s="1"/>
  <c r="A38" i="9" s="1"/>
  <c r="A39" i="9" s="1"/>
  <c r="A40" i="9" s="1"/>
  <c r="A41" i="9" s="1"/>
  <c r="A44" i="9" s="1"/>
  <c r="A47" i="9" s="1"/>
  <c r="A48" i="9" s="1"/>
  <c r="A49" i="9" s="1"/>
  <c r="A50" i="9" s="1"/>
  <c r="A51" i="9" s="1"/>
  <c r="A52" i="9" s="1"/>
  <c r="A53" i="9" s="1"/>
  <c r="A54" i="9" s="1"/>
  <c r="A55" i="9" s="1"/>
  <c r="A56" i="9" s="1"/>
  <c r="A57" i="9" s="1"/>
  <c r="A58" i="9" s="1"/>
  <c r="A59" i="9" s="1"/>
  <c r="A60" i="9" s="1"/>
  <c r="A61" i="9" s="1"/>
  <c r="A62" i="9" s="1"/>
  <c r="A64" i="9" s="1"/>
  <c r="A67" i="9" s="1"/>
  <c r="D21" i="9"/>
  <c r="D33" i="9"/>
  <c r="E36" i="9"/>
  <c r="E37" i="9"/>
  <c r="E38" i="9"/>
  <c r="F39" i="9"/>
  <c r="F44" i="9" s="1"/>
  <c r="D44" i="9"/>
  <c r="E47" i="9"/>
  <c r="E48" i="9"/>
  <c r="E49" i="9"/>
  <c r="E50" i="9"/>
  <c r="E51" i="9"/>
  <c r="E52" i="9"/>
  <c r="D64" i="9"/>
  <c r="F64" i="9"/>
  <c r="L43" i="2"/>
  <c r="L42" i="2"/>
  <c r="A68" i="9" l="1"/>
  <c r="A69" i="9" s="1"/>
  <c r="A70" i="9" s="1"/>
  <c r="A71" i="9" s="1"/>
  <c r="A73" i="9" s="1"/>
  <c r="E64" i="9"/>
  <c r="E44" i="9"/>
  <c r="E71" i="9" l="1"/>
  <c r="F70" i="9"/>
  <c r="C63" i="36" l="1"/>
  <c r="C62" i="36"/>
  <c r="K40" i="36"/>
  <c r="J40" i="36"/>
  <c r="I40" i="36"/>
  <c r="D40" i="36"/>
  <c r="C40" i="36"/>
  <c r="G40" i="36" l="1"/>
  <c r="C39" i="41"/>
  <c r="C40" i="41" s="1"/>
  <c r="C41" i="41" s="1"/>
  <c r="C42" i="41" s="1"/>
  <c r="C43" i="41" s="1"/>
  <c r="C44" i="41" s="1"/>
  <c r="C45" i="41" s="1"/>
  <c r="C46" i="41" s="1"/>
  <c r="C47" i="41" s="1"/>
  <c r="C48" i="41" s="1"/>
  <c r="C49" i="41" s="1"/>
  <c r="C50" i="41" s="1"/>
  <c r="C36" i="41"/>
  <c r="C21" i="41"/>
  <c r="C22" i="41" s="1"/>
  <c r="C23" i="41" s="1"/>
  <c r="C24" i="41" s="1"/>
  <c r="C25" i="41" s="1"/>
  <c r="C26" i="41" s="1"/>
  <c r="C27" i="41" s="1"/>
  <c r="C28" i="41" s="1"/>
  <c r="C29" i="41" s="1"/>
  <c r="C30" i="41" s="1"/>
  <c r="C31" i="41" s="1"/>
  <c r="C32" i="41" s="1"/>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G42" i="5" l="1"/>
  <c r="E42" i="5"/>
  <c r="G34" i="5"/>
  <c r="E34" i="5"/>
  <c r="G26" i="5"/>
  <c r="E26" i="5"/>
  <c r="G18" i="5"/>
  <c r="E18" i="5" l="1"/>
  <c r="I18" i="5" s="1"/>
  <c r="J876" i="13"/>
  <c r="J789" i="13"/>
  <c r="L783" i="13" s="1"/>
  <c r="J702" i="13"/>
  <c r="L696" i="13" s="1"/>
  <c r="J615" i="13"/>
  <c r="L609" i="13" s="1"/>
  <c r="J528" i="13"/>
  <c r="L522" i="13" s="1"/>
  <c r="J441" i="13"/>
  <c r="L435" i="13" s="1"/>
  <c r="J354" i="13"/>
  <c r="J267" i="13"/>
  <c r="J180" i="13"/>
  <c r="L174" i="13" s="1"/>
  <c r="O27" i="42"/>
  <c r="N27" i="42"/>
  <c r="L27" i="42"/>
  <c r="K27" i="42"/>
  <c r="B27" i="42"/>
  <c r="P24" i="42"/>
  <c r="M27" i="42"/>
  <c r="P23" i="42"/>
  <c r="P19" i="42"/>
  <c r="Q18" i="42"/>
  <c r="P17" i="42"/>
  <c r="P16" i="42"/>
  <c r="Q15" i="42"/>
  <c r="Q14" i="42"/>
  <c r="P13" i="42"/>
  <c r="C23" i="37"/>
  <c r="D23" i="37"/>
  <c r="I23" i="37"/>
  <c r="J23" i="37"/>
  <c r="K23" i="37"/>
  <c r="C29" i="36"/>
  <c r="D29" i="36"/>
  <c r="I29" i="36"/>
  <c r="J29" i="36"/>
  <c r="K29" i="36"/>
  <c r="C30" i="36"/>
  <c r="D30" i="36"/>
  <c r="I30" i="36"/>
  <c r="J30" i="36"/>
  <c r="K30" i="36"/>
  <c r="C31" i="36"/>
  <c r="D31" i="36"/>
  <c r="I31" i="36"/>
  <c r="J31" i="36"/>
  <c r="K31" i="36"/>
  <c r="C32" i="36"/>
  <c r="D32" i="36"/>
  <c r="I32" i="36"/>
  <c r="J32" i="36"/>
  <c r="K32" i="36"/>
  <c r="C33" i="36"/>
  <c r="D33" i="36"/>
  <c r="I33" i="36"/>
  <c r="J33" i="36"/>
  <c r="K33" i="36"/>
  <c r="D63" i="36"/>
  <c r="D62" i="36"/>
  <c r="G62" i="36" s="1"/>
  <c r="C29" i="37"/>
  <c r="D29" i="37"/>
  <c r="C30" i="37"/>
  <c r="D30" i="37"/>
  <c r="C31" i="37"/>
  <c r="D31" i="37"/>
  <c r="C32" i="37"/>
  <c r="D32" i="37"/>
  <c r="C33" i="37"/>
  <c r="D33" i="37"/>
  <c r="D28" i="37"/>
  <c r="C28" i="37"/>
  <c r="K48" i="36"/>
  <c r="J48" i="36"/>
  <c r="I48" i="36"/>
  <c r="D48" i="36"/>
  <c r="C48" i="36"/>
  <c r="K47" i="36"/>
  <c r="J47" i="36"/>
  <c r="I47" i="36"/>
  <c r="D47" i="36"/>
  <c r="C47" i="36"/>
  <c r="K46" i="36"/>
  <c r="J46" i="36"/>
  <c r="I46" i="36"/>
  <c r="D46" i="36"/>
  <c r="C46" i="36"/>
  <c r="O942" i="13"/>
  <c r="M942"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90" i="13"/>
  <c r="M890" i="13"/>
  <c r="O885" i="13"/>
  <c r="M885" i="13"/>
  <c r="D883" i="13"/>
  <c r="C883" i="13"/>
  <c r="C884" i="13" s="1"/>
  <c r="C885" i="13" s="1"/>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C915" i="13" s="1"/>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C942" i="13" s="1"/>
  <c r="L878" i="13"/>
  <c r="J877" i="13"/>
  <c r="P864" i="13"/>
  <c r="O864" i="13"/>
  <c r="A864" i="13"/>
  <c r="I41" i="6"/>
  <c r="K41" i="6" s="1"/>
  <c r="I40" i="6"/>
  <c r="K40" i="6" s="1"/>
  <c r="E40" i="6" s="1"/>
  <c r="I39" i="6"/>
  <c r="K39" i="6" s="1"/>
  <c r="E39" i="6" s="1"/>
  <c r="P777" i="13"/>
  <c r="O777" i="13"/>
  <c r="P690" i="13"/>
  <c r="O690" i="13"/>
  <c r="P603" i="13"/>
  <c r="O603" i="13"/>
  <c r="P516" i="13"/>
  <c r="O516" i="13"/>
  <c r="P429" i="13"/>
  <c r="O429" i="13"/>
  <c r="P342" i="13"/>
  <c r="O342" i="13"/>
  <c r="P255" i="13"/>
  <c r="O255" i="13"/>
  <c r="P168" i="13"/>
  <c r="O168" i="13"/>
  <c r="P81" i="13"/>
  <c r="O81" i="13"/>
  <c r="P8" i="13"/>
  <c r="O8" i="13"/>
  <c r="O855" i="13"/>
  <c r="M855"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805" i="13"/>
  <c r="M805" i="13"/>
  <c r="O804" i="13"/>
  <c r="M804" i="13"/>
  <c r="O803" i="13"/>
  <c r="M803" i="13"/>
  <c r="O802" i="13"/>
  <c r="M802" i="13"/>
  <c r="D796" i="13"/>
  <c r="C796" i="13"/>
  <c r="C797" i="13" s="1"/>
  <c r="C798" i="13" s="1"/>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L791" i="13"/>
  <c r="J790" i="13"/>
  <c r="A777" i="13"/>
  <c r="O768" i="13"/>
  <c r="M768"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O717" i="13"/>
  <c r="M717" i="13"/>
  <c r="O716" i="13"/>
  <c r="M716" i="13"/>
  <c r="D709" i="13"/>
  <c r="C709" i="13"/>
  <c r="C710" i="13" s="1"/>
  <c r="C711" i="13" s="1"/>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C738" i="13" s="1"/>
  <c r="L704" i="13"/>
  <c r="J703" i="13"/>
  <c r="A690" i="13"/>
  <c r="O681" i="13"/>
  <c r="M681"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O630" i="13"/>
  <c r="M630" i="13"/>
  <c r="O629" i="13"/>
  <c r="M629" i="13"/>
  <c r="D622" i="13"/>
  <c r="C622" i="13"/>
  <c r="C623" i="13" s="1"/>
  <c r="C624" i="13" s="1"/>
  <c r="C625" i="13" s="1"/>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s="1"/>
  <c r="C654" i="13" s="1"/>
  <c r="C655" i="13" s="1"/>
  <c r="C656" i="13" s="1"/>
  <c r="C657" i="13" s="1"/>
  <c r="C658" i="13" s="1"/>
  <c r="C659" i="13" s="1"/>
  <c r="C660" i="13" s="1"/>
  <c r="C661" i="13" s="1"/>
  <c r="C662" i="13" s="1"/>
  <c r="C663" i="13" s="1"/>
  <c r="C664" i="13" s="1"/>
  <c r="C665" i="13" s="1"/>
  <c r="C666" i="13" s="1"/>
  <c r="C667" i="13" s="1"/>
  <c r="C668" i="13" s="1"/>
  <c r="C669" i="13" s="1"/>
  <c r="C670" i="13" s="1"/>
  <c r="C671" i="13" s="1"/>
  <c r="C672" i="13" s="1"/>
  <c r="C673" i="13" s="1"/>
  <c r="C674" i="13" s="1"/>
  <c r="C675" i="13" s="1"/>
  <c r="C676" i="13" s="1"/>
  <c r="C677" i="13" s="1"/>
  <c r="C678" i="13" s="1"/>
  <c r="C679" i="13" s="1"/>
  <c r="C680" i="13" s="1"/>
  <c r="C681" i="13" s="1"/>
  <c r="L617" i="13"/>
  <c r="J616" i="13"/>
  <c r="A603" i="13"/>
  <c r="O594" i="13"/>
  <c r="M594"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45" i="13"/>
  <c r="M545" i="13"/>
  <c r="O544" i="13"/>
  <c r="M544" i="13"/>
  <c r="O543" i="13"/>
  <c r="M543" i="13"/>
  <c r="O542" i="13"/>
  <c r="M542" i="13"/>
  <c r="D535" i="13"/>
  <c r="C535" i="13"/>
  <c r="C536" i="13" s="1"/>
  <c r="C537" i="13" s="1"/>
  <c r="C538" i="13" s="1"/>
  <c r="C539" i="13" s="1"/>
  <c r="C540" i="13" s="1"/>
  <c r="C541" i="13" s="1"/>
  <c r="C542" i="13" s="1"/>
  <c r="C543" i="13" s="1"/>
  <c r="C544" i="13" s="1"/>
  <c r="C545" i="13" s="1"/>
  <c r="C546" i="13" s="1"/>
  <c r="C547" i="13" s="1"/>
  <c r="C548" i="13" s="1"/>
  <c r="C549" i="13" s="1"/>
  <c r="C550" i="13" s="1"/>
  <c r="C551" i="13" s="1"/>
  <c r="C552" i="13" s="1"/>
  <c r="C553" i="13" s="1"/>
  <c r="C554" i="13" s="1"/>
  <c r="C555" i="13" s="1"/>
  <c r="C556" i="13" s="1"/>
  <c r="C557" i="13" s="1"/>
  <c r="C558" i="13" s="1"/>
  <c r="C559" i="13" s="1"/>
  <c r="C560" i="13" s="1"/>
  <c r="C561" i="13" s="1"/>
  <c r="C562" i="13" s="1"/>
  <c r="C563" i="13" s="1"/>
  <c r="C564" i="13" s="1"/>
  <c r="C565" i="13" s="1"/>
  <c r="C566" i="13" s="1"/>
  <c r="C567" i="13" s="1"/>
  <c r="C568" i="13" s="1"/>
  <c r="C569" i="13" s="1"/>
  <c r="C570" i="13" s="1"/>
  <c r="C571" i="13" s="1"/>
  <c r="C572" i="13" s="1"/>
  <c r="C573" i="13" s="1"/>
  <c r="C574" i="13" s="1"/>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C594" i="13" s="1"/>
  <c r="L530" i="13"/>
  <c r="J529" i="13"/>
  <c r="A516" i="13"/>
  <c r="O507" i="13"/>
  <c r="M507"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O459" i="13"/>
  <c r="M459" i="13"/>
  <c r="O458" i="13"/>
  <c r="M458" i="13"/>
  <c r="O457" i="13"/>
  <c r="M457" i="13"/>
  <c r="O456" i="13"/>
  <c r="M456" i="13"/>
  <c r="O455" i="13"/>
  <c r="M455" i="13"/>
  <c r="D448" i="13"/>
  <c r="C448" i="13"/>
  <c r="C449" i="13" s="1"/>
  <c r="C450" i="13" s="1"/>
  <c r="C451" i="13" s="1"/>
  <c r="C452" i="13" s="1"/>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L443" i="13"/>
  <c r="J442" i="13"/>
  <c r="A429" i="13"/>
  <c r="O420" i="13"/>
  <c r="M420"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O370" i="13"/>
  <c r="M370" i="13"/>
  <c r="D361" i="13"/>
  <c r="C361" i="13"/>
  <c r="C362" i="13" s="1"/>
  <c r="C363" i="13" s="1"/>
  <c r="C364" i="13" s="1"/>
  <c r="C365" i="13" s="1"/>
  <c r="C366" i="13" s="1"/>
  <c r="C367" i="13" s="1"/>
  <c r="C368" i="13" s="1"/>
  <c r="C369" i="13" s="1"/>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C390" i="13" s="1"/>
  <c r="C391" i="13" s="1"/>
  <c r="C392" i="13" s="1"/>
  <c r="C393" i="13" s="1"/>
  <c r="C394" i="13" s="1"/>
  <c r="C395" i="13" s="1"/>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C420" i="13" s="1"/>
  <c r="L356" i="13"/>
  <c r="J355" i="13"/>
  <c r="A342" i="13"/>
  <c r="O333" i="13"/>
  <c r="M333"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O285" i="13"/>
  <c r="M285" i="13"/>
  <c r="O284" i="13"/>
  <c r="M284" i="13"/>
  <c r="D274" i="13"/>
  <c r="C274" i="13"/>
  <c r="C275" i="13" s="1"/>
  <c r="C276" i="13" s="1"/>
  <c r="C277" i="13" s="1"/>
  <c r="C278" i="13" s="1"/>
  <c r="C279" i="13" s="1"/>
  <c r="C280" i="13" s="1"/>
  <c r="C281" i="13" s="1"/>
  <c r="C282" i="13" s="1"/>
  <c r="C283" i="13" s="1"/>
  <c r="C284" i="13" s="1"/>
  <c r="C285" i="13" s="1"/>
  <c r="C286" i="13" s="1"/>
  <c r="C287" i="13" s="1"/>
  <c r="C288" i="13" s="1"/>
  <c r="C289" i="13" s="1"/>
  <c r="C290" i="13" s="1"/>
  <c r="C291" i="13" s="1"/>
  <c r="C292" i="13" s="1"/>
  <c r="C293" i="13" s="1"/>
  <c r="C294" i="13" s="1"/>
  <c r="C295" i="13" s="1"/>
  <c r="C296" i="13" s="1"/>
  <c r="C297" i="13" s="1"/>
  <c r="C298" i="13" s="1"/>
  <c r="C299" i="13" s="1"/>
  <c r="C300" i="13" s="1"/>
  <c r="C301" i="13" s="1"/>
  <c r="C302" i="13" s="1"/>
  <c r="C303" i="13" s="1"/>
  <c r="C304" i="13" s="1"/>
  <c r="C305" i="13" s="1"/>
  <c r="C306" i="13" s="1"/>
  <c r="C307" i="13" s="1"/>
  <c r="C308" i="13" s="1"/>
  <c r="C309" i="13" s="1"/>
  <c r="C310" i="13" s="1"/>
  <c r="C311" i="13" s="1"/>
  <c r="C312" i="13" s="1"/>
  <c r="C313" i="13" s="1"/>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C333" i="13" s="1"/>
  <c r="L269" i="13"/>
  <c r="J268" i="13"/>
  <c r="A255" i="13"/>
  <c r="O246" i="13"/>
  <c r="M246"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O198" i="13"/>
  <c r="M198" i="13"/>
  <c r="O197" i="13"/>
  <c r="M197" i="13"/>
  <c r="D187" i="13"/>
  <c r="C187" i="13"/>
  <c r="C188" i="13" s="1"/>
  <c r="C189" i="13" s="1"/>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224" i="13" s="1"/>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C246" i="13" s="1"/>
  <c r="L182" i="13"/>
  <c r="J181" i="13"/>
  <c r="A168" i="13"/>
  <c r="A3" i="13"/>
  <c r="B3" i="13"/>
  <c r="C3" i="13"/>
  <c r="D3" i="13"/>
  <c r="E3" i="13"/>
  <c r="F3" i="13"/>
  <c r="G3" i="13"/>
  <c r="H3" i="13"/>
  <c r="I3" i="13"/>
  <c r="J3" i="13"/>
  <c r="K3" i="13"/>
  <c r="L3" i="13"/>
  <c r="M3" i="13"/>
  <c r="N3" i="13"/>
  <c r="O3" i="13"/>
  <c r="P3" i="13"/>
  <c r="A4" i="13"/>
  <c r="A6" i="13"/>
  <c r="J77" i="13" s="1"/>
  <c r="C11" i="13"/>
  <c r="C14" i="13"/>
  <c r="F16" i="13"/>
  <c r="F18" i="13" s="1"/>
  <c r="E23" i="13" s="1"/>
  <c r="C18" i="13"/>
  <c r="M20" i="13"/>
  <c r="M23" i="13"/>
  <c r="C26" i="13"/>
  <c r="C32" i="13"/>
  <c r="C42" i="13"/>
  <c r="C43" i="13"/>
  <c r="C47" i="13"/>
  <c r="C53" i="13"/>
  <c r="C55" i="13"/>
  <c r="C58" i="13"/>
  <c r="C60" i="13"/>
  <c r="C62" i="13"/>
  <c r="C65" i="13"/>
  <c r="C66" i="13"/>
  <c r="C68" i="13"/>
  <c r="C69" i="13"/>
  <c r="C71" i="13"/>
  <c r="L87" i="13"/>
  <c r="J94" i="13"/>
  <c r="L95"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D10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H41" i="39"/>
  <c r="H40" i="39"/>
  <c r="H38" i="39"/>
  <c r="F42" i="39"/>
  <c r="H35" i="39"/>
  <c r="H34" i="39"/>
  <c r="H32" i="39"/>
  <c r="E42" i="39"/>
  <c r="E42" i="38"/>
  <c r="G73" i="2" s="1"/>
  <c r="G23" i="38"/>
  <c r="G67" i="2" s="1"/>
  <c r="G157" i="2"/>
  <c r="G42" i="38"/>
  <c r="G75" i="2" s="1"/>
  <c r="C42" i="38"/>
  <c r="G71" i="2" s="1"/>
  <c r="G15" i="41"/>
  <c r="G21" i="41" s="1"/>
  <c r="G21" i="35"/>
  <c r="G22" i="35" s="1"/>
  <c r="G23" i="35" s="1"/>
  <c r="D906" i="20"/>
  <c r="C906" i="20"/>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H33" i="39"/>
  <c r="H39" i="39"/>
  <c r="H31" i="39"/>
  <c r="G131" i="2"/>
  <c r="J21" i="8"/>
  <c r="I42" i="5"/>
  <c r="I26" i="5"/>
  <c r="D32" i="32"/>
  <c r="C31" i="32"/>
  <c r="D31" i="32" s="1"/>
  <c r="D30" i="32"/>
  <c r="D29" i="32"/>
  <c r="H22" i="41"/>
  <c r="H23" i="41" s="1"/>
  <c r="H24" i="41" s="1"/>
  <c r="H25" i="41" s="1"/>
  <c r="H26" i="41" s="1"/>
  <c r="H27" i="41" s="1"/>
  <c r="H28" i="41" s="1"/>
  <c r="H29" i="41" s="1"/>
  <c r="H30" i="41" s="1"/>
  <c r="H31" i="41" s="1"/>
  <c r="H32" i="41" s="1"/>
  <c r="I10" i="41"/>
  <c r="E21" i="41" s="1"/>
  <c r="E22" i="41" s="1"/>
  <c r="E23" i="41" s="1"/>
  <c r="E24" i="41" s="1"/>
  <c r="E25" i="41" s="1"/>
  <c r="E26" i="41" s="1"/>
  <c r="E27" i="41" s="1"/>
  <c r="E28" i="41" s="1"/>
  <c r="E29" i="41" s="1"/>
  <c r="E30" i="41" s="1"/>
  <c r="E31" i="41" s="1"/>
  <c r="E32" i="41" s="1"/>
  <c r="G10" i="41"/>
  <c r="C10" i="41"/>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D815" i="20"/>
  <c r="C815" i="20"/>
  <c r="C816" i="20" s="1"/>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K454" i="20"/>
  <c r="I453" i="20"/>
  <c r="D369" i="20"/>
  <c r="C369" i="20"/>
  <c r="C370" i="20" s="1"/>
  <c r="C371" i="20" s="1"/>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K364" i="20"/>
  <c r="I363" i="20"/>
  <c r="D280" i="20"/>
  <c r="C280" i="20"/>
  <c r="C281" i="20" s="1"/>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K275" i="20"/>
  <c r="I274" i="20"/>
  <c r="O261" i="20"/>
  <c r="N261" i="20"/>
  <c r="A261"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D62" i="38"/>
  <c r="C62" i="38"/>
  <c r="L206" i="2" s="1"/>
  <c r="F42" i="38"/>
  <c r="G74" i="2" s="1"/>
  <c r="D42" i="38"/>
  <c r="G72" i="2" s="1"/>
  <c r="F23" i="38"/>
  <c r="G66" i="2" s="1"/>
  <c r="D23" i="38"/>
  <c r="G64" i="2" s="1"/>
  <c r="A7" i="40"/>
  <c r="A4" i="40"/>
  <c r="A3" i="40"/>
  <c r="D30" i="40"/>
  <c r="D23" i="40"/>
  <c r="D18" i="40"/>
  <c r="D20" i="40" s="1"/>
  <c r="A12" i="40"/>
  <c r="A15" i="40" s="1"/>
  <c r="A16" i="40" s="1"/>
  <c r="A17" i="40" s="1"/>
  <c r="A18" i="40" s="1"/>
  <c r="A19" i="40" s="1"/>
  <c r="A20" i="40" s="1"/>
  <c r="A21" i="40" s="1"/>
  <c r="A22" i="40" s="1"/>
  <c r="A23" i="40" s="1"/>
  <c r="A26"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L223" i="2" s="1"/>
  <c r="A11" i="39"/>
  <c r="A12" i="39" s="1"/>
  <c r="A13" i="39" s="1"/>
  <c r="A14" i="39" s="1"/>
  <c r="A15" i="39" s="1"/>
  <c r="A16" i="39" s="1"/>
  <c r="A17" i="39" s="1"/>
  <c r="A18" i="39" s="1"/>
  <c r="A19" i="39" s="1"/>
  <c r="A20" i="39" s="1"/>
  <c r="A21" i="39" s="1"/>
  <c r="A22" i="39" s="1"/>
  <c r="A23" i="39" s="1"/>
  <c r="B74" i="39" s="1"/>
  <c r="A2" i="39"/>
  <c r="B6" i="14"/>
  <c r="A6" i="20"/>
  <c r="I77" i="20" s="1"/>
  <c r="A6" i="31"/>
  <c r="A6" i="11"/>
  <c r="A6" i="10"/>
  <c r="A6" i="9"/>
  <c r="A6" i="8"/>
  <c r="B36" i="8" s="1"/>
  <c r="A6" i="7"/>
  <c r="B26" i="7" s="1"/>
  <c r="A6" i="6"/>
  <c r="A6" i="5"/>
  <c r="A4" i="38"/>
  <c r="Q27" i="21"/>
  <c r="Q22" i="21"/>
  <c r="Q17" i="21"/>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4" i="2"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35" i="37"/>
  <c r="Q35" i="37"/>
  <c r="O35" i="37"/>
  <c r="N35" i="37"/>
  <c r="M35" i="37"/>
  <c r="K25" i="37"/>
  <c r="J25" i="37"/>
  <c r="I25" i="37"/>
  <c r="D25" i="37"/>
  <c r="C25" i="37"/>
  <c r="K24" i="37"/>
  <c r="J24" i="37"/>
  <c r="I24" i="37"/>
  <c r="D24" i="37"/>
  <c r="C24"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K17" i="37"/>
  <c r="J17" i="37"/>
  <c r="I17" i="37"/>
  <c r="D17" i="37"/>
  <c r="C17" i="37"/>
  <c r="S89" i="36"/>
  <c r="R89" i="36"/>
  <c r="E52" i="5" s="1"/>
  <c r="Q89" i="36"/>
  <c r="O89" i="36"/>
  <c r="N89" i="36"/>
  <c r="G52" i="5" s="1"/>
  <c r="M89" i="36"/>
  <c r="F89" i="36"/>
  <c r="E89" i="36"/>
  <c r="K87" i="36"/>
  <c r="J87" i="36"/>
  <c r="I87" i="36"/>
  <c r="D87" i="36"/>
  <c r="C87" i="36"/>
  <c r="K86" i="36"/>
  <c r="J86" i="36"/>
  <c r="I86" i="36"/>
  <c r="D86" i="36"/>
  <c r="C86" i="36"/>
  <c r="F73" i="36"/>
  <c r="E73" i="36"/>
  <c r="K72" i="36"/>
  <c r="J72" i="36"/>
  <c r="I72" i="36"/>
  <c r="D72" i="36"/>
  <c r="C72" i="36"/>
  <c r="A72" i="36"/>
  <c r="A75" i="36" s="1"/>
  <c r="D35" i="5" s="1"/>
  <c r="S69" i="36"/>
  <c r="S75" i="36" s="1"/>
  <c r="R69" i="36"/>
  <c r="R75" i="36" s="1"/>
  <c r="Q69" i="36"/>
  <c r="Q75" i="36" s="1"/>
  <c r="O69" i="36"/>
  <c r="O75" i="36" s="1"/>
  <c r="N75" i="36"/>
  <c r="M69" i="36"/>
  <c r="M75" i="36" s="1"/>
  <c r="F66" i="36"/>
  <c r="F69" i="36" s="1"/>
  <c r="E66" i="36"/>
  <c r="E69" i="36" s="1"/>
  <c r="G65" i="36"/>
  <c r="G64" i="36"/>
  <c r="K58" i="36"/>
  <c r="J58" i="36"/>
  <c r="I58" i="36"/>
  <c r="D58" i="36"/>
  <c r="C58" i="36"/>
  <c r="K57" i="36"/>
  <c r="J57" i="36"/>
  <c r="I57" i="36"/>
  <c r="D57" i="36"/>
  <c r="C57" i="36"/>
  <c r="A57" i="36"/>
  <c r="A58" i="36" s="1"/>
  <c r="K56" i="36"/>
  <c r="J56" i="36"/>
  <c r="I56" i="36"/>
  <c r="D56" i="36"/>
  <c r="C56" i="36"/>
  <c r="A52" i="36"/>
  <c r="D26" i="5" s="1"/>
  <c r="S51" i="36"/>
  <c r="R51" i="36"/>
  <c r="Q51" i="36"/>
  <c r="O51" i="36"/>
  <c r="M51" i="36"/>
  <c r="F51" i="36"/>
  <c r="E51" i="36"/>
  <c r="K43" i="36"/>
  <c r="J43" i="36"/>
  <c r="I43" i="36"/>
  <c r="D43" i="36"/>
  <c r="C43" i="36"/>
  <c r="K42" i="36"/>
  <c r="J42" i="36"/>
  <c r="I42" i="36"/>
  <c r="D42" i="36"/>
  <c r="C42" i="36"/>
  <c r="K41" i="36"/>
  <c r="J41" i="36"/>
  <c r="I41" i="36"/>
  <c r="D41" i="36"/>
  <c r="C41"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I27" i="8"/>
  <c r="I31" i="8" s="1"/>
  <c r="E68" i="9"/>
  <c r="G10" i="5"/>
  <c r="E10" i="5"/>
  <c r="C9" i="7"/>
  <c r="D12" i="9"/>
  <c r="E17" i="2"/>
  <c r="A91" i="34"/>
  <c r="M54" i="11"/>
  <c r="I12" i="6"/>
  <c r="G12" i="6"/>
  <c r="I10" i="5"/>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38" i="11"/>
  <c r="K38" i="11" s="1"/>
  <c r="D297" i="2"/>
  <c r="C60" i="20"/>
  <c r="A4" i="34"/>
  <c r="C47" i="20"/>
  <c r="D60" i="6"/>
  <c r="B58" i="6" s="1"/>
  <c r="D36" i="6"/>
  <c r="B34" i="6" s="1"/>
  <c r="C29" i="6"/>
  <c r="C30" i="6"/>
  <c r="L17" i="2"/>
  <c r="A4" i="21"/>
  <c r="B4" i="14"/>
  <c r="A4" i="20"/>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E66" i="11"/>
  <c r="E56" i="11"/>
  <c r="I66" i="11"/>
  <c r="I56" i="11"/>
  <c r="C50" i="11"/>
  <c r="M41" i="11"/>
  <c r="L214" i="2"/>
  <c r="L216" i="2"/>
  <c r="C31" i="34"/>
  <c r="C37" i="34"/>
  <c r="C38" i="34" s="1"/>
  <c r="C43" i="34"/>
  <c r="C49" i="34"/>
  <c r="C50" i="34" s="1"/>
  <c r="E31" i="34"/>
  <c r="E32" i="34" s="1"/>
  <c r="E37" i="34"/>
  <c r="E43" i="34"/>
  <c r="E44" i="34" s="1"/>
  <c r="E49" i="34"/>
  <c r="E50" i="34" s="1"/>
  <c r="F31" i="34"/>
  <c r="F37" i="34"/>
  <c r="F38" i="34" s="1"/>
  <c r="F43" i="34"/>
  <c r="F44" i="34" s="1"/>
  <c r="F49" i="34"/>
  <c r="F50" i="34" s="1"/>
  <c r="G31" i="34"/>
  <c r="G32" i="34" s="1"/>
  <c r="G37" i="34"/>
  <c r="G38" i="34" s="1"/>
  <c r="G43" i="34"/>
  <c r="G49" i="34"/>
  <c r="G50" i="34" s="1"/>
  <c r="H31" i="34"/>
  <c r="H32" i="34" s="1"/>
  <c r="H37" i="34"/>
  <c r="H43" i="34"/>
  <c r="H44" i="34" s="1"/>
  <c r="H49" i="34"/>
  <c r="H50" i="34" s="1"/>
  <c r="I31" i="34"/>
  <c r="I32" i="34" s="1"/>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F217" i="2"/>
  <c r="G217" i="2"/>
  <c r="G55" i="6"/>
  <c r="G29" i="6" s="1"/>
  <c r="C21" i="7"/>
  <c r="C23" i="7" s="1"/>
  <c r="G110" i="2" s="1"/>
  <c r="L110" i="2" s="1"/>
  <c r="O17" i="21"/>
  <c r="O22" i="21"/>
  <c r="O27" i="21"/>
  <c r="E50" i="31"/>
  <c r="E26" i="11" s="1"/>
  <c r="I26" i="11" s="1"/>
  <c r="E52" i="31"/>
  <c r="E27" i="11" s="1"/>
  <c r="I27" i="11" s="1"/>
  <c r="E54" i="31"/>
  <c r="E28" i="11" s="1"/>
  <c r="I28" i="11" s="1"/>
  <c r="E37" i="31"/>
  <c r="E22" i="11" s="1"/>
  <c r="G22" i="11" s="1"/>
  <c r="E23" i="31"/>
  <c r="E20" i="11" s="1"/>
  <c r="G20" i="11" s="1"/>
  <c r="E30" i="31"/>
  <c r="E21" i="11" s="1"/>
  <c r="G21" i="11" s="1"/>
  <c r="E14" i="31"/>
  <c r="E59" i="31"/>
  <c r="E31" i="11" s="1"/>
  <c r="M31" i="11" s="1"/>
  <c r="E62" i="31"/>
  <c r="E34" i="11" s="1"/>
  <c r="M34" i="11" s="1"/>
  <c r="E90" i="31"/>
  <c r="E39" i="11" s="1"/>
  <c r="M39" i="11" s="1"/>
  <c r="E96" i="31"/>
  <c r="E40" i="11" s="1"/>
  <c r="M40" i="11" s="1"/>
  <c r="E65" i="31"/>
  <c r="E35" i="11" s="1"/>
  <c r="K35" i="11" s="1"/>
  <c r="E69" i="31"/>
  <c r="E36" i="11" s="1"/>
  <c r="K36" i="11" s="1"/>
  <c r="E81" i="31"/>
  <c r="E37" i="11" s="1"/>
  <c r="K37" i="11" s="1"/>
  <c r="G143" i="2"/>
  <c r="G144" i="2"/>
  <c r="A10" i="34"/>
  <c r="A11" i="34" s="1"/>
  <c r="A12" i="34" s="1"/>
  <c r="A13" i="34" s="1"/>
  <c r="A14" i="34" s="1"/>
  <c r="E133" i="2"/>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E137" i="34" s="1"/>
  <c r="G118" i="34"/>
  <c r="G119" i="34" s="1"/>
  <c r="G124" i="34"/>
  <c r="G125" i="34" s="1"/>
  <c r="G130" i="34"/>
  <c r="G131" i="34" s="1"/>
  <c r="G136" i="34"/>
  <c r="G137" i="34" s="1"/>
  <c r="H118" i="34"/>
  <c r="H119" i="34" s="1"/>
  <c r="H124" i="34"/>
  <c r="H125" i="34" s="1"/>
  <c r="H130" i="34"/>
  <c r="H131" i="34" s="1"/>
  <c r="H136" i="34"/>
  <c r="H137" i="34" s="1"/>
  <c r="I118" i="34"/>
  <c r="I119" i="34" s="1"/>
  <c r="I124" i="34"/>
  <c r="I125" i="34" s="1"/>
  <c r="I130" i="34"/>
  <c r="I131" i="34" s="1"/>
  <c r="I136" i="34"/>
  <c r="I137" i="34" s="1"/>
  <c r="C118" i="34"/>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B9" i="32"/>
  <c r="B3" i="32"/>
  <c r="A13" i="10"/>
  <c r="A17" i="10" s="1"/>
  <c r="A21" i="10" s="1"/>
  <c r="A25" i="10" s="1"/>
  <c r="C183" i="34"/>
  <c r="J183" i="34" s="1"/>
  <c r="E183" i="34"/>
  <c r="G183" i="34"/>
  <c r="H183" i="34"/>
  <c r="I183" i="34"/>
  <c r="C184" i="34"/>
  <c r="J184" i="34" s="1"/>
  <c r="E184" i="34"/>
  <c r="G184" i="34"/>
  <c r="H184" i="34"/>
  <c r="I184" i="34"/>
  <c r="C185" i="34"/>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33" i="2"/>
  <c r="G142" i="2"/>
  <c r="F102" i="31"/>
  <c r="E99" i="31"/>
  <c r="A14" i="31"/>
  <c r="A22" i="31" s="1"/>
  <c r="A23" i="31" s="1"/>
  <c r="A30" i="31" s="1"/>
  <c r="I50" i="5"/>
  <c r="K33" i="21"/>
  <c r="A22" i="21"/>
  <c r="A27" i="21" s="1"/>
  <c r="A33" i="21" s="1"/>
  <c r="D187" i="2" s="1"/>
  <c r="A6" i="21"/>
  <c r="L26" i="20"/>
  <c r="I362" i="20" s="1"/>
  <c r="O8" i="20"/>
  <c r="C11" i="20"/>
  <c r="C14" i="20"/>
  <c r="C18" i="20"/>
  <c r="C26" i="20"/>
  <c r="C32" i="20"/>
  <c r="C42" i="20"/>
  <c r="C43" i="20"/>
  <c r="C53" i="20"/>
  <c r="C55" i="20"/>
  <c r="C58" i="20"/>
  <c r="C62" i="20"/>
  <c r="C65" i="20"/>
  <c r="C66" i="20"/>
  <c r="C68" i="20"/>
  <c r="C69" i="20"/>
  <c r="C71" i="20"/>
  <c r="N82" i="20"/>
  <c r="O82" i="20"/>
  <c r="H213" i="2"/>
  <c r="J13" i="8"/>
  <c r="A15" i="8"/>
  <c r="A17" i="8" s="1"/>
  <c r="J15" i="8"/>
  <c r="A27" i="8"/>
  <c r="A29" i="8" s="1"/>
  <c r="A31" i="8" s="1"/>
  <c r="E15" i="2" s="1"/>
  <c r="J17" i="8"/>
  <c r="J19" i="8"/>
  <c r="J29" i="8"/>
  <c r="A15" i="7"/>
  <c r="A17" i="7" s="1"/>
  <c r="A18" i="7" s="1"/>
  <c r="A19" i="7" s="1"/>
  <c r="A21" i="7" s="1"/>
  <c r="A17" i="6"/>
  <c r="A19" i="6" s="1"/>
  <c r="A17" i="5"/>
  <c r="A18" i="5" s="1"/>
  <c r="A19" i="5" s="1"/>
  <c r="A20"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H216" i="2"/>
  <c r="B15" i="2"/>
  <c r="B17" i="2" s="1"/>
  <c r="B18" i="2" s="1"/>
  <c r="B24" i="2" s="1"/>
  <c r="B26" i="2" s="1"/>
  <c r="B27" i="2" s="1"/>
  <c r="E25" i="34"/>
  <c r="E14" i="34"/>
  <c r="E63" i="34" s="1"/>
  <c r="J12" i="34"/>
  <c r="C25" i="34"/>
  <c r="C198" i="34"/>
  <c r="D55" i="6"/>
  <c r="D29" i="6" s="1"/>
  <c r="D79" i="6"/>
  <c r="D30" i="6" s="1"/>
  <c r="E23" i="39"/>
  <c r="L228" i="2" s="1"/>
  <c r="D23" i="39"/>
  <c r="E74" i="39" s="1"/>
  <c r="E76" i="39" s="1"/>
  <c r="G42" i="39"/>
  <c r="D42" i="39"/>
  <c r="C42" i="39"/>
  <c r="F23" i="39"/>
  <c r="L229" i="2" s="1"/>
  <c r="G61" i="36"/>
  <c r="E131" i="2"/>
  <c r="E67" i="9"/>
  <c r="H37" i="39"/>
  <c r="H29" i="39"/>
  <c r="I34" i="5"/>
  <c r="H30" i="39"/>
  <c r="G141" i="2"/>
  <c r="O361" i="13"/>
  <c r="M361" i="13"/>
  <c r="P100" i="13"/>
  <c r="P101" i="13"/>
  <c r="P102" i="13"/>
  <c r="P103" i="13"/>
  <c r="F73" i="9"/>
  <c r="G145" i="2" s="1"/>
  <c r="D73" i="9"/>
  <c r="E23" i="38"/>
  <c r="G65" i="2" s="1"/>
  <c r="C23" i="38"/>
  <c r="G63" i="2" s="1"/>
  <c r="G130" i="2"/>
  <c r="H36" i="39"/>
  <c r="J55" i="6"/>
  <c r="J29" i="6" s="1"/>
  <c r="M883" i="13"/>
  <c r="O883" i="13"/>
  <c r="O884" i="13"/>
  <c r="M884" i="13"/>
  <c r="I79" i="6"/>
  <c r="I30" i="6" s="1"/>
  <c r="G63" i="36" l="1"/>
  <c r="G32" i="37"/>
  <c r="E227" i="2"/>
  <c r="N697" i="13"/>
  <c r="G79" i="34"/>
  <c r="E61" i="11"/>
  <c r="E63" i="11" s="1"/>
  <c r="E65" i="11" s="1"/>
  <c r="J54" i="35"/>
  <c r="G56" i="36"/>
  <c r="A81" i="13"/>
  <c r="F79" i="34"/>
  <c r="E226" i="2"/>
  <c r="G17" i="36"/>
  <c r="I166" i="34"/>
  <c r="H79" i="34"/>
  <c r="I89" i="36"/>
  <c r="G20" i="36"/>
  <c r="E229" i="2"/>
  <c r="I21" i="35"/>
  <c r="L21" i="35" s="1"/>
  <c r="A82" i="20"/>
  <c r="G73" i="36"/>
  <c r="G31" i="37"/>
  <c r="G21" i="36"/>
  <c r="F75" i="36"/>
  <c r="E93" i="2"/>
  <c r="G22" i="37"/>
  <c r="I79" i="34"/>
  <c r="G57" i="36"/>
  <c r="M349" i="13"/>
  <c r="F139" i="34"/>
  <c r="F151" i="34" s="1"/>
  <c r="G18" i="37"/>
  <c r="E199" i="34"/>
  <c r="J196" i="34"/>
  <c r="I199" i="34"/>
  <c r="F52" i="34"/>
  <c r="F80" i="34" s="1"/>
  <c r="F87" i="38"/>
  <c r="G97" i="2" s="1"/>
  <c r="F188" i="34"/>
  <c r="F213" i="34" s="1"/>
  <c r="F216" i="34" s="1"/>
  <c r="N349" i="13"/>
  <c r="E101" i="2"/>
  <c r="H199" i="34"/>
  <c r="J49" i="34"/>
  <c r="F80" i="38"/>
  <c r="G95" i="2" s="1"/>
  <c r="L95" i="2" s="1"/>
  <c r="I51" i="36"/>
  <c r="C739" i="13"/>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C768" i="13" s="1"/>
  <c r="C166" i="34"/>
  <c r="G41" i="36"/>
  <c r="I69" i="36"/>
  <c r="I75" i="36" s="1"/>
  <c r="G66" i="36"/>
  <c r="G34" i="36"/>
  <c r="G43" i="36"/>
  <c r="E75" i="36"/>
  <c r="A73" i="36"/>
  <c r="B63" i="34"/>
  <c r="A16" i="34"/>
  <c r="B13" i="34" s="1"/>
  <c r="E140" i="34"/>
  <c r="G28" i="37"/>
  <c r="J101" i="34"/>
  <c r="J150" i="34" s="1"/>
  <c r="H140" i="34"/>
  <c r="D89" i="36"/>
  <c r="J130" i="34"/>
  <c r="J197" i="34"/>
  <c r="F23" i="36"/>
  <c r="G20" i="37"/>
  <c r="O33" i="21"/>
  <c r="G187" i="2" s="1"/>
  <c r="J136" i="34"/>
  <c r="D20" i="5"/>
  <c r="J14" i="34"/>
  <c r="J63" i="34" s="1"/>
  <c r="M697" i="13"/>
  <c r="I53" i="34"/>
  <c r="I203" i="34" s="1"/>
  <c r="I139" i="34"/>
  <c r="L348" i="13"/>
  <c r="G68" i="2"/>
  <c r="E166" i="34"/>
  <c r="S27" i="21"/>
  <c r="M262" i="13"/>
  <c r="D33" i="32"/>
  <c r="C478" i="13"/>
  <c r="C479" i="13" s="1"/>
  <c r="C480" i="13" s="1"/>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C507" i="13" s="1"/>
  <c r="N436" i="13"/>
  <c r="B23" i="7"/>
  <c r="A23" i="7"/>
  <c r="E110" i="2" s="1"/>
  <c r="F48" i="13"/>
  <c r="G48" i="20"/>
  <c r="E28" i="2"/>
  <c r="D30" i="2"/>
  <c r="A37" i="31"/>
  <c r="A40" i="31" s="1"/>
  <c r="A49" i="31" s="1"/>
  <c r="A50" i="31" s="1"/>
  <c r="A52" i="31" s="1"/>
  <c r="A54" i="31" s="1"/>
  <c r="A58" i="31" s="1"/>
  <c r="A59" i="31" s="1"/>
  <c r="A61" i="31" s="1"/>
  <c r="A62" i="31" s="1"/>
  <c r="A65" i="31" s="1"/>
  <c r="A69" i="31" s="1"/>
  <c r="A81" i="31" s="1"/>
  <c r="A86" i="31" s="1"/>
  <c r="A90" i="31" s="1"/>
  <c r="A96" i="31" s="1"/>
  <c r="A99" i="31" s="1"/>
  <c r="A102" i="31" s="1"/>
  <c r="F32" i="34"/>
  <c r="F53" i="34" s="1"/>
  <c r="F203" i="34" s="1"/>
  <c r="C79" i="34"/>
  <c r="E79" i="34"/>
  <c r="J112" i="34"/>
  <c r="K35" i="37"/>
  <c r="G19" i="37"/>
  <c r="C119" i="34"/>
  <c r="J119" i="34" s="1"/>
  <c r="C139" i="34"/>
  <c r="C151" i="34" s="1"/>
  <c r="J118" i="34"/>
  <c r="G27" i="5"/>
  <c r="G25" i="5"/>
  <c r="G87" i="36"/>
  <c r="C89" i="36"/>
  <c r="E139" i="34"/>
  <c r="J124" i="34"/>
  <c r="J31" i="34"/>
  <c r="A76" i="36"/>
  <c r="D34" i="5" s="1"/>
  <c r="I52" i="34"/>
  <c r="G139" i="34"/>
  <c r="G151" i="34" s="1"/>
  <c r="I188" i="34"/>
  <c r="I213" i="34" s="1"/>
  <c r="I216" i="34" s="1"/>
  <c r="H188" i="34"/>
  <c r="H213" i="34" s="1"/>
  <c r="H216" i="34" s="1"/>
  <c r="H218" i="34" s="1"/>
  <c r="J198" i="34"/>
  <c r="I43" i="11"/>
  <c r="G161" i="2" s="1"/>
  <c r="J25" i="34"/>
  <c r="K69" i="36"/>
  <c r="K75" i="36" s="1"/>
  <c r="G47" i="36"/>
  <c r="G33" i="37"/>
  <c r="G29" i="37"/>
  <c r="H166" i="34"/>
  <c r="H139" i="34"/>
  <c r="H167" i="34" s="1"/>
  <c r="E18" i="2"/>
  <c r="E163" i="2"/>
  <c r="G166" i="34"/>
  <c r="J195" i="34"/>
  <c r="G199" i="34"/>
  <c r="C32" i="34"/>
  <c r="C52" i="34"/>
  <c r="C57" i="34" s="1"/>
  <c r="C60" i="34" s="1"/>
  <c r="C65" i="34" s="1"/>
  <c r="I22" i="35"/>
  <c r="L22" i="35" s="1"/>
  <c r="M436" i="13"/>
  <c r="E27" i="5"/>
  <c r="E35" i="5"/>
  <c r="E49" i="5"/>
  <c r="E51" i="5" s="1"/>
  <c r="A25" i="37"/>
  <c r="A26" i="37" s="1"/>
  <c r="A27" i="37" s="1"/>
  <c r="A28" i="37" s="1"/>
  <c r="A29" i="37" s="1"/>
  <c r="A30" i="37" s="1"/>
  <c r="A31" i="37" s="1"/>
  <c r="A32" i="37" s="1"/>
  <c r="A33" i="37" s="1"/>
  <c r="J54" i="41"/>
  <c r="H217" i="2"/>
  <c r="C188" i="34"/>
  <c r="C213" i="34" s="1"/>
  <c r="C216" i="34" s="1"/>
  <c r="C218" i="34" s="1"/>
  <c r="J194" i="34"/>
  <c r="E25" i="5"/>
  <c r="A59" i="36"/>
  <c r="A60" i="36" s="1"/>
  <c r="A61" i="36" s="1"/>
  <c r="A62" i="36" s="1"/>
  <c r="A63" i="36" s="1"/>
  <c r="A64" i="36" s="1"/>
  <c r="A65" i="36" s="1"/>
  <c r="A66" i="36" s="1"/>
  <c r="G35" i="5"/>
  <c r="G33" i="5"/>
  <c r="E33" i="5"/>
  <c r="G86" i="36"/>
  <c r="K89" i="36"/>
  <c r="I52" i="5"/>
  <c r="L90" i="2" s="1"/>
  <c r="G43" i="5"/>
  <c r="G41" i="5"/>
  <c r="N871" i="13"/>
  <c r="E73" i="9"/>
  <c r="I23" i="31"/>
  <c r="G43" i="11"/>
  <c r="K43" i="11"/>
  <c r="G165" i="2" s="1"/>
  <c r="E17" i="11"/>
  <c r="M17" i="11" s="1"/>
  <c r="M43" i="11" s="1"/>
  <c r="G164" i="2" s="1"/>
  <c r="L164" i="2" s="1"/>
  <c r="N175" i="13"/>
  <c r="L261" i="13"/>
  <c r="J69" i="36"/>
  <c r="J75" i="36" s="1"/>
  <c r="G32" i="36"/>
  <c r="Q27" i="42"/>
  <c r="P27" i="42"/>
  <c r="E41" i="6"/>
  <c r="E55" i="6" s="1"/>
  <c r="E29" i="6" s="1"/>
  <c r="K55" i="6"/>
  <c r="K29" i="6" s="1"/>
  <c r="I55" i="6"/>
  <c r="I29" i="6" s="1"/>
  <c r="I31" i="6" s="1"/>
  <c r="G105" i="2" s="1"/>
  <c r="G31" i="6"/>
  <c r="G106" i="2" s="1"/>
  <c r="L106" i="2" s="1"/>
  <c r="G17" i="37"/>
  <c r="G25" i="37"/>
  <c r="G24" i="37"/>
  <c r="C35" i="37"/>
  <c r="E23" i="36"/>
  <c r="G37" i="36"/>
  <c r="C69" i="36"/>
  <c r="C75" i="36" s="1"/>
  <c r="G46" i="36"/>
  <c r="G35" i="36"/>
  <c r="G134" i="2"/>
  <c r="G100" i="2" s="1"/>
  <c r="I30" i="31"/>
  <c r="D33" i="40"/>
  <c r="G146" i="2" s="1"/>
  <c r="G147" i="2" s="1"/>
  <c r="G76" i="2"/>
  <c r="L204" i="2"/>
  <c r="G80" i="2"/>
  <c r="K48" i="11" s="1"/>
  <c r="K51" i="11" s="1"/>
  <c r="S22" i="21"/>
  <c r="G79" i="2"/>
  <c r="G48" i="11" s="1"/>
  <c r="M175" i="13"/>
  <c r="M523" i="13"/>
  <c r="M871" i="13"/>
  <c r="N262" i="13"/>
  <c r="N523" i="13"/>
  <c r="M610" i="13"/>
  <c r="L870" i="13"/>
  <c r="N610" i="13"/>
  <c r="L227" i="2"/>
  <c r="E22" i="31"/>
  <c r="G163" i="2" s="1"/>
  <c r="S17" i="21"/>
  <c r="L41" i="2"/>
  <c r="J27" i="8"/>
  <c r="J31" i="8" s="1"/>
  <c r="D31" i="6"/>
  <c r="D69" i="36"/>
  <c r="D75" i="36" s="1"/>
  <c r="G72" i="36"/>
  <c r="G48" i="36"/>
  <c r="C51" i="36"/>
  <c r="D51" i="36"/>
  <c r="J51" i="36"/>
  <c r="G31" i="36"/>
  <c r="G38" i="36"/>
  <c r="G30" i="36"/>
  <c r="G36" i="36"/>
  <c r="G39" i="36"/>
  <c r="G30" i="37"/>
  <c r="G23" i="37"/>
  <c r="I630" i="20"/>
  <c r="I94" i="20"/>
  <c r="I719" i="20"/>
  <c r="I273" i="20"/>
  <c r="I541" i="20"/>
  <c r="I899" i="20"/>
  <c r="I184" i="20"/>
  <c r="N88" i="13"/>
  <c r="C130" i="13"/>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M88" i="13"/>
  <c r="E143" i="2"/>
  <c r="E164" i="2"/>
  <c r="E161" i="2"/>
  <c r="A48" i="11"/>
  <c r="E165" i="2"/>
  <c r="G24" i="35"/>
  <c r="I23" i="35"/>
  <c r="L23" i="35" s="1"/>
  <c r="L145" i="2"/>
  <c r="J125" i="34"/>
  <c r="E102" i="2"/>
  <c r="A21" i="6"/>
  <c r="N784" i="13"/>
  <c r="M784" i="13"/>
  <c r="A84" i="38"/>
  <c r="A87" i="38" s="1"/>
  <c r="E95" i="2"/>
  <c r="C199" i="34"/>
  <c r="J193" i="34"/>
  <c r="I61" i="11"/>
  <c r="I63" i="11" s="1"/>
  <c r="I65" i="11" s="1"/>
  <c r="I53" i="11"/>
  <c r="I55" i="11" s="1"/>
  <c r="J185" i="34"/>
  <c r="J188" i="34" s="1"/>
  <c r="J213" i="34" s="1"/>
  <c r="A27" i="40"/>
  <c r="A28" i="40" s="1"/>
  <c r="A29" i="40" s="1"/>
  <c r="A30" i="40" s="1"/>
  <c r="H38" i="34"/>
  <c r="H53" i="34" s="1"/>
  <c r="H203" i="34" s="1"/>
  <c r="H52" i="34"/>
  <c r="J50" i="34"/>
  <c r="C826" i="13"/>
  <c r="C827" i="13" s="1"/>
  <c r="C828" i="13" s="1"/>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C855" i="13" s="1"/>
  <c r="A23" i="5"/>
  <c r="A25" i="5" s="1"/>
  <c r="E86" i="2"/>
  <c r="G140" i="34"/>
  <c r="B28" i="2"/>
  <c r="B30" i="2" s="1"/>
  <c r="B31" i="2" s="1"/>
  <c r="F150" i="34"/>
  <c r="F166" i="34"/>
  <c r="E35" i="37"/>
  <c r="A29" i="39"/>
  <c r="A30" i="39" s="1"/>
  <c r="A31" i="39" s="1"/>
  <c r="A32" i="39" s="1"/>
  <c r="A33" i="39" s="1"/>
  <c r="A34" i="39" s="1"/>
  <c r="A35" i="39" s="1"/>
  <c r="A36" i="39" s="1"/>
  <c r="A37" i="39" s="1"/>
  <c r="A38" i="39" s="1"/>
  <c r="A39" i="39" s="1"/>
  <c r="A40" i="39" s="1"/>
  <c r="A41" i="39" s="1"/>
  <c r="A42" i="39" s="1"/>
  <c r="E228" i="2"/>
  <c r="J131" i="34"/>
  <c r="F140" i="34"/>
  <c r="F29" i="10"/>
  <c r="F341" i="2" s="1"/>
  <c r="G169" i="2" s="1"/>
  <c r="G173" i="2" s="1"/>
  <c r="H42" i="39"/>
  <c r="J137" i="34"/>
  <c r="I140" i="34"/>
  <c r="G44" i="34"/>
  <c r="G53" i="34" s="1"/>
  <c r="G203" i="34" s="1"/>
  <c r="G52" i="34"/>
  <c r="E38" i="34"/>
  <c r="E53" i="34" s="1"/>
  <c r="E203" i="34" s="1"/>
  <c r="E52" i="34"/>
  <c r="J37" i="34"/>
  <c r="J43" i="34"/>
  <c r="C44" i="34"/>
  <c r="I35" i="37"/>
  <c r="E66" i="2"/>
  <c r="E67" i="2"/>
  <c r="E65" i="2"/>
  <c r="A29" i="38"/>
  <c r="A30" i="38" s="1"/>
  <c r="A31" i="38" s="1"/>
  <c r="A32" i="38" s="1"/>
  <c r="A33" i="38" s="1"/>
  <c r="A34" i="38" s="1"/>
  <c r="A35" i="38" s="1"/>
  <c r="A36" i="38" s="1"/>
  <c r="A37" i="38" s="1"/>
  <c r="A38" i="38" s="1"/>
  <c r="A39" i="38" s="1"/>
  <c r="A40" i="38" s="1"/>
  <c r="A41" i="38" s="1"/>
  <c r="A42" i="38" s="1"/>
  <c r="I808" i="20"/>
  <c r="I452" i="20"/>
  <c r="E188" i="34"/>
  <c r="E213" i="34" s="1"/>
  <c r="F199" i="34"/>
  <c r="G21" i="37"/>
  <c r="I37" i="31"/>
  <c r="B23" i="40"/>
  <c r="G188" i="34"/>
  <c r="G19" i="36"/>
  <c r="G28" i="36"/>
  <c r="K51" i="36"/>
  <c r="G42" i="36"/>
  <c r="G58" i="36"/>
  <c r="J89" i="36"/>
  <c r="E19" i="5"/>
  <c r="E17" i="5"/>
  <c r="G49" i="5"/>
  <c r="G19" i="5"/>
  <c r="G17" i="5"/>
  <c r="G22" i="41"/>
  <c r="I21" i="41"/>
  <c r="G81" i="2"/>
  <c r="J79" i="6"/>
  <c r="J30" i="6" s="1"/>
  <c r="J31" i="6" s="1"/>
  <c r="G104" i="2" s="1"/>
  <c r="G33" i="36"/>
  <c r="G29" i="36"/>
  <c r="P822" i="13"/>
  <c r="P807" i="13"/>
  <c r="P384" i="13"/>
  <c r="P150" i="13"/>
  <c r="P221" i="13"/>
  <c r="P543" i="13"/>
  <c r="P740" i="13"/>
  <c r="P742" i="13"/>
  <c r="P768" i="13"/>
  <c r="P131" i="13"/>
  <c r="P214" i="13"/>
  <c r="P226" i="13"/>
  <c r="P372" i="13"/>
  <c r="P374" i="13"/>
  <c r="P378" i="13"/>
  <c r="P380" i="13"/>
  <c r="P382" i="13"/>
  <c r="P386" i="13"/>
  <c r="P398" i="13"/>
  <c r="P400" i="13"/>
  <c r="P402" i="13"/>
  <c r="P406" i="13"/>
  <c r="P408" i="13"/>
  <c r="P414" i="13"/>
  <c r="P420" i="13"/>
  <c r="P472" i="13"/>
  <c r="P494" i="13"/>
  <c r="P568" i="13"/>
  <c r="P767" i="13"/>
  <c r="P923" i="13"/>
  <c r="P298" i="13"/>
  <c r="P318" i="13"/>
  <c r="P326" i="13"/>
  <c r="P328" i="13"/>
  <c r="P456" i="13"/>
  <c r="P458" i="13"/>
  <c r="P460" i="13"/>
  <c r="P462" i="13"/>
  <c r="P464" i="13"/>
  <c r="P466" i="13"/>
  <c r="P468" i="13"/>
  <c r="P470" i="13"/>
  <c r="P480" i="13"/>
  <c r="P484" i="13"/>
  <c r="P486" i="13"/>
  <c r="P488" i="13"/>
  <c r="P490" i="13"/>
  <c r="P492" i="13"/>
  <c r="P496" i="13"/>
  <c r="P504" i="13"/>
  <c r="P629" i="13"/>
  <c r="P657" i="13"/>
  <c r="P659" i="13"/>
  <c r="P803" i="13"/>
  <c r="P648" i="13"/>
  <c r="P652" i="13"/>
  <c r="P656" i="13"/>
  <c r="P830" i="13"/>
  <c r="P482" i="13"/>
  <c r="P805" i="13"/>
  <c r="P884" i="13"/>
  <c r="P295" i="13"/>
  <c r="P299" i="13"/>
  <c r="P307" i="13"/>
  <c r="P315" i="13"/>
  <c r="P317" i="13"/>
  <c r="P455" i="13"/>
  <c r="P818" i="13"/>
  <c r="P159" i="13"/>
  <c r="P157" i="13"/>
  <c r="P155" i="13"/>
  <c r="P143" i="13"/>
  <c r="P139" i="13"/>
  <c r="P133" i="13"/>
  <c r="P129" i="13"/>
  <c r="P127" i="13"/>
  <c r="P121" i="13"/>
  <c r="P117" i="13"/>
  <c r="P115" i="13"/>
  <c r="P113" i="13"/>
  <c r="P388" i="13"/>
  <c r="P542" i="13"/>
  <c r="P548" i="13"/>
  <c r="P552" i="13"/>
  <c r="P554" i="13"/>
  <c r="P558" i="13"/>
  <c r="P560" i="13"/>
  <c r="P562" i="13"/>
  <c r="P570" i="13"/>
  <c r="P572" i="13"/>
  <c r="P584" i="13"/>
  <c r="P717" i="13"/>
  <c r="P725" i="13"/>
  <c r="P727" i="13"/>
  <c r="P761" i="13"/>
  <c r="P152" i="13"/>
  <c r="P120" i="13"/>
  <c r="P112" i="13"/>
  <c r="P587" i="13"/>
  <c r="P589" i="13"/>
  <c r="P591" i="13"/>
  <c r="P593" i="13"/>
  <c r="P732" i="13"/>
  <c r="P748" i="13"/>
  <c r="P754" i="13"/>
  <c r="P922" i="13"/>
  <c r="P716" i="13"/>
  <c r="P834" i="13"/>
  <c r="P842" i="13"/>
  <c r="P852" i="13"/>
  <c r="P631" i="13"/>
  <c r="P633" i="13"/>
  <c r="P635" i="13"/>
  <c r="P637" i="13"/>
  <c r="P639" i="13"/>
  <c r="P641" i="13"/>
  <c r="P643" i="13"/>
  <c r="P647" i="13"/>
  <c r="P661" i="13"/>
  <c r="P663" i="13"/>
  <c r="P665" i="13"/>
  <c r="P667" i="13"/>
  <c r="P669" i="13"/>
  <c r="P671" i="13"/>
  <c r="P673" i="13"/>
  <c r="P675" i="13"/>
  <c r="P809" i="13"/>
  <c r="P811" i="13"/>
  <c r="P813" i="13"/>
  <c r="P815" i="13"/>
  <c r="P817" i="13"/>
  <c r="P819" i="13"/>
  <c r="P821" i="13"/>
  <c r="P823" i="13"/>
  <c r="P825" i="13"/>
  <c r="P827" i="13"/>
  <c r="P829" i="13"/>
  <c r="P892" i="13"/>
  <c r="P896" i="13"/>
  <c r="P898" i="13"/>
  <c r="P902" i="13"/>
  <c r="P904" i="13"/>
  <c r="P910" i="13"/>
  <c r="P912" i="13"/>
  <c r="P914" i="13"/>
  <c r="P916" i="13"/>
  <c r="P918" i="13"/>
  <c r="P920" i="13"/>
  <c r="P924" i="13"/>
  <c r="P926" i="13"/>
  <c r="P928" i="13"/>
  <c r="P932" i="13"/>
  <c r="P936" i="13"/>
  <c r="P832" i="13"/>
  <c r="P836" i="13"/>
  <c r="P840" i="13"/>
  <c r="P147" i="13"/>
  <c r="P145" i="13"/>
  <c r="P125" i="13"/>
  <c r="P550" i="13"/>
  <c r="P556" i="13"/>
  <c r="P666" i="13"/>
  <c r="P668" i="13"/>
  <c r="P680" i="13"/>
  <c r="P808" i="13"/>
  <c r="P810" i="13"/>
  <c r="P812" i="13"/>
  <c r="P814" i="13"/>
  <c r="P816" i="13"/>
  <c r="P820" i="13"/>
  <c r="P824" i="13"/>
  <c r="P826" i="13"/>
  <c r="P828" i="13"/>
  <c r="P893" i="13"/>
  <c r="P899" i="13"/>
  <c r="P911" i="13"/>
  <c r="P919" i="13"/>
  <c r="P921" i="13"/>
  <c r="P927" i="13"/>
  <c r="P929" i="13"/>
  <c r="P931" i="13"/>
  <c r="P935" i="13"/>
  <c r="P939" i="13"/>
  <c r="P941" i="13"/>
  <c r="P114" i="13"/>
  <c r="P199" i="13"/>
  <c r="P201" i="13"/>
  <c r="P203" i="13"/>
  <c r="P205" i="13"/>
  <c r="P207" i="13"/>
  <c r="P217" i="13"/>
  <c r="P219" i="13"/>
  <c r="P229" i="13"/>
  <c r="P231" i="13"/>
  <c r="P233" i="13"/>
  <c r="P235" i="13"/>
  <c r="P237" i="13"/>
  <c r="P239" i="13"/>
  <c r="P243" i="13"/>
  <c r="P245" i="13"/>
  <c r="P371" i="13"/>
  <c r="P391" i="13"/>
  <c r="P561" i="13"/>
  <c r="P563" i="13"/>
  <c r="P679" i="13"/>
  <c r="P838" i="13"/>
  <c r="P285" i="13"/>
  <c r="P287" i="13"/>
  <c r="P289" i="13"/>
  <c r="P291" i="13"/>
  <c r="P293" i="13"/>
  <c r="P301" i="13"/>
  <c r="P303" i="13"/>
  <c r="P309" i="13"/>
  <c r="P311" i="13"/>
  <c r="P313" i="13"/>
  <c r="P719" i="13"/>
  <c r="P739" i="13"/>
  <c r="P743" i="13"/>
  <c r="P745" i="13"/>
  <c r="P751" i="13"/>
  <c r="P753" i="13"/>
  <c r="P755" i="13"/>
  <c r="P757" i="13"/>
  <c r="P759" i="13"/>
  <c r="P831" i="13"/>
  <c r="P837" i="13"/>
  <c r="P839" i="13"/>
  <c r="P845" i="13"/>
  <c r="P585" i="13"/>
  <c r="P676" i="13"/>
  <c r="P883" i="13"/>
  <c r="P316" i="13"/>
  <c r="P718" i="13"/>
  <c r="P802" i="13"/>
  <c r="P728" i="13"/>
  <c r="P118" i="13"/>
  <c r="P116" i="13"/>
  <c r="P213" i="13"/>
  <c r="P215" i="13"/>
  <c r="P223" i="13"/>
  <c r="P227" i="13"/>
  <c r="P658" i="13"/>
  <c r="P660" i="13"/>
  <c r="P664" i="13"/>
  <c r="P672" i="13"/>
  <c r="P674" i="13"/>
  <c r="P724" i="13"/>
  <c r="P726" i="13"/>
  <c r="P853" i="13"/>
  <c r="P208" i="13"/>
  <c r="P212" i="13"/>
  <c r="P218" i="13"/>
  <c r="P222" i="13"/>
  <c r="P236" i="13"/>
  <c r="P284" i="13"/>
  <c r="P286" i="13"/>
  <c r="P288" i="13"/>
  <c r="P290" i="13"/>
  <c r="P292" i="13"/>
  <c r="P296" i="13"/>
  <c r="P300" i="13"/>
  <c r="P304" i="13"/>
  <c r="P306" i="13"/>
  <c r="P308" i="13"/>
  <c r="P310" i="13"/>
  <c r="P312" i="13"/>
  <c r="P314" i="13"/>
  <c r="P319" i="13"/>
  <c r="P331" i="13"/>
  <c r="P333" i="13"/>
  <c r="P373" i="13"/>
  <c r="P375" i="13"/>
  <c r="P387" i="13"/>
  <c r="P393" i="13"/>
  <c r="P395" i="13"/>
  <c r="P457" i="13"/>
  <c r="P459" i="13"/>
  <c r="P461" i="13"/>
  <c r="P463" i="13"/>
  <c r="P465" i="13"/>
  <c r="P469" i="13"/>
  <c r="P471" i="13"/>
  <c r="P481" i="13"/>
  <c r="P483" i="13"/>
  <c r="P485" i="13"/>
  <c r="P487" i="13"/>
  <c r="P489" i="13"/>
  <c r="P491" i="13"/>
  <c r="P493" i="13"/>
  <c r="P495" i="13"/>
  <c r="P497" i="13"/>
  <c r="P503" i="13"/>
  <c r="P505" i="13"/>
  <c r="P559" i="13"/>
  <c r="P565" i="13"/>
  <c r="P567" i="13"/>
  <c r="P571" i="13"/>
  <c r="P575" i="13"/>
  <c r="P579" i="13"/>
  <c r="P583" i="13"/>
  <c r="P588" i="13"/>
  <c r="P590" i="13"/>
  <c r="P592" i="13"/>
  <c r="P594" i="13"/>
  <c r="P634" i="13"/>
  <c r="P636" i="13"/>
  <c r="P638" i="13"/>
  <c r="P640" i="13"/>
  <c r="P678" i="13"/>
  <c r="P744" i="13"/>
  <c r="P756" i="13"/>
  <c r="P762" i="13"/>
  <c r="P764" i="13"/>
  <c r="P766" i="13"/>
  <c r="P806" i="13"/>
  <c r="P198" i="13"/>
  <c r="P200" i="13"/>
  <c r="P202" i="13"/>
  <c r="P204" i="13"/>
  <c r="P210" i="13"/>
  <c r="P216" i="13"/>
  <c r="P220" i="13"/>
  <c r="P224" i="13"/>
  <c r="P228" i="13"/>
  <c r="P230" i="13"/>
  <c r="P232" i="13"/>
  <c r="P238" i="13"/>
  <c r="P240" i="13"/>
  <c r="P242" i="13"/>
  <c r="P244" i="13"/>
  <c r="P246" i="13"/>
  <c r="P377" i="13"/>
  <c r="P379" i="13"/>
  <c r="P385" i="13"/>
  <c r="P399" i="13"/>
  <c r="P401" i="13"/>
  <c r="P403" i="13"/>
  <c r="P405" i="13"/>
  <c r="P407" i="13"/>
  <c r="P409" i="13"/>
  <c r="P411" i="13"/>
  <c r="P413" i="13"/>
  <c r="P415" i="13"/>
  <c r="P417" i="13"/>
  <c r="P419" i="13"/>
  <c r="P545" i="13"/>
  <c r="P547" i="13"/>
  <c r="P549" i="13"/>
  <c r="P551" i="13"/>
  <c r="P553" i="13"/>
  <c r="P555" i="13"/>
  <c r="P557" i="13"/>
  <c r="P569" i="13"/>
  <c r="P577" i="13"/>
  <c r="P581" i="13"/>
  <c r="P644" i="13"/>
  <c r="P662" i="13"/>
  <c r="P677" i="13"/>
  <c r="P723" i="13"/>
  <c r="P729" i="13"/>
  <c r="P731" i="13"/>
  <c r="P733" i="13"/>
  <c r="P735" i="13"/>
  <c r="P747" i="13"/>
  <c r="P907" i="13"/>
  <c r="P909" i="13"/>
  <c r="P154" i="13"/>
  <c r="P148" i="13"/>
  <c r="P146" i="13"/>
  <c r="P144" i="13"/>
  <c r="P142" i="13"/>
  <c r="P140" i="13"/>
  <c r="P138" i="13"/>
  <c r="P136" i="13"/>
  <c r="P134" i="13"/>
  <c r="P132" i="13"/>
  <c r="P124" i="13"/>
  <c r="P122" i="13"/>
  <c r="P305" i="13"/>
  <c r="P320" i="13"/>
  <c r="P322" i="13"/>
  <c r="P324" i="13"/>
  <c r="P330" i="13"/>
  <c r="P332" i="13"/>
  <c r="P370" i="13"/>
  <c r="P376" i="13"/>
  <c r="P390" i="13"/>
  <c r="P392" i="13"/>
  <c r="P394" i="13"/>
  <c r="P396" i="13"/>
  <c r="P404" i="13"/>
  <c r="P410" i="13"/>
  <c r="P412" i="13"/>
  <c r="P416" i="13"/>
  <c r="P418" i="13"/>
  <c r="P474" i="13"/>
  <c r="P476" i="13"/>
  <c r="P498" i="13"/>
  <c r="P500" i="13"/>
  <c r="P502" i="13"/>
  <c r="P506" i="13"/>
  <c r="P574" i="13"/>
  <c r="P580" i="13"/>
  <c r="P582" i="13"/>
  <c r="P650" i="13"/>
  <c r="P730" i="13"/>
  <c r="P843" i="13"/>
  <c r="P847" i="13"/>
  <c r="P849" i="13"/>
  <c r="P851" i="13"/>
  <c r="P854" i="13"/>
  <c r="P885" i="13"/>
  <c r="P890" i="13"/>
  <c r="P894" i="13"/>
  <c r="P900" i="13"/>
  <c r="P149" i="13"/>
  <c r="P141" i="13"/>
  <c r="P137" i="13"/>
  <c r="P135" i="13"/>
  <c r="P123" i="13"/>
  <c r="P119" i="13"/>
  <c r="P111" i="13"/>
  <c r="P209" i="13"/>
  <c r="P321" i="13"/>
  <c r="P323" i="13"/>
  <c r="P325" i="13"/>
  <c r="P327" i="13"/>
  <c r="P329" i="13"/>
  <c r="P475" i="13"/>
  <c r="P499" i="13"/>
  <c r="P653" i="13"/>
  <c r="P655" i="13"/>
  <c r="P746" i="13"/>
  <c r="P844" i="13"/>
  <c r="P846" i="13"/>
  <c r="P942" i="13"/>
  <c r="P479" i="13"/>
  <c r="P938" i="13"/>
  <c r="P361" i="13"/>
  <c r="P211" i="13"/>
  <c r="P225" i="13"/>
  <c r="P241" i="13"/>
  <c r="P297" i="13"/>
  <c r="P477" i="13"/>
  <c r="P507" i="13"/>
  <c r="P576" i="13"/>
  <c r="P578" i="13"/>
  <c r="P645" i="13"/>
  <c r="P654" i="13"/>
  <c r="P750" i="13"/>
  <c r="P752" i="13"/>
  <c r="P763" i="13"/>
  <c r="P906" i="13"/>
  <c r="P913" i="13"/>
  <c r="P915" i="13"/>
  <c r="P917" i="13"/>
  <c r="P940" i="13"/>
  <c r="P206" i="13"/>
  <c r="P294" i="13"/>
  <c r="P302" i="13"/>
  <c r="P389" i="13"/>
  <c r="P397" i="13"/>
  <c r="P467" i="13"/>
  <c r="P478" i="13"/>
  <c r="P630" i="13"/>
  <c r="P632" i="13"/>
  <c r="P642" i="13"/>
  <c r="P649" i="13"/>
  <c r="P651" i="13"/>
  <c r="P720" i="13"/>
  <c r="P722" i="13"/>
  <c r="P734" i="13"/>
  <c r="P736" i="13"/>
  <c r="P738" i="13"/>
  <c r="P758" i="13"/>
  <c r="P760" i="13"/>
  <c r="P765" i="13"/>
  <c r="P833" i="13"/>
  <c r="P835" i="13"/>
  <c r="P841" i="13"/>
  <c r="P848" i="13"/>
  <c r="P850" i="13"/>
  <c r="P855" i="13"/>
  <c r="P933" i="13"/>
  <c r="P937" i="13"/>
  <c r="P158" i="13"/>
  <c r="P156" i="13"/>
  <c r="P130" i="13"/>
  <c r="P128" i="13"/>
  <c r="P126" i="13"/>
  <c r="P197" i="13"/>
  <c r="P234" i="13"/>
  <c r="P473" i="13"/>
  <c r="P544" i="13"/>
  <c r="P546" i="13"/>
  <c r="P564" i="13"/>
  <c r="P566" i="13"/>
  <c r="P721" i="13"/>
  <c r="P737" i="13"/>
  <c r="P741" i="13"/>
  <c r="P891" i="13"/>
  <c r="P895" i="13"/>
  <c r="P897" i="13"/>
  <c r="P901" i="13"/>
  <c r="P903" i="13"/>
  <c r="P905" i="13"/>
  <c r="P930" i="13"/>
  <c r="P153" i="13"/>
  <c r="P151" i="13"/>
  <c r="P573" i="13"/>
  <c r="P646" i="13"/>
  <c r="P934" i="13"/>
  <c r="P381" i="13"/>
  <c r="P383" i="13"/>
  <c r="P501" i="13"/>
  <c r="P586" i="13"/>
  <c r="P670" i="13"/>
  <c r="P681" i="13"/>
  <c r="P749" i="13"/>
  <c r="P804" i="13"/>
  <c r="P908" i="13"/>
  <c r="P925" i="13"/>
  <c r="O697" i="13" l="1"/>
  <c r="A19" i="34"/>
  <c r="A20" i="34" s="1"/>
  <c r="A21" i="34" s="1"/>
  <c r="A22" i="34" s="1"/>
  <c r="A23" i="34" s="1"/>
  <c r="A24" i="34" s="1"/>
  <c r="A25" i="34" s="1"/>
  <c r="B79" i="34" s="1"/>
  <c r="G144" i="34"/>
  <c r="G147" i="34" s="1"/>
  <c r="G152" i="34" s="1"/>
  <c r="G153" i="34" s="1"/>
  <c r="G157" i="34" s="1"/>
  <c r="G173" i="34" s="1"/>
  <c r="F64" i="34"/>
  <c r="H144" i="34"/>
  <c r="H147" i="34" s="1"/>
  <c r="H152" i="34" s="1"/>
  <c r="F229" i="34"/>
  <c r="J79" i="34"/>
  <c r="O349" i="13"/>
  <c r="H151" i="34"/>
  <c r="G28" i="5"/>
  <c r="F218" i="34"/>
  <c r="O262" i="13"/>
  <c r="C229" i="34"/>
  <c r="C234" i="34" s="1"/>
  <c r="C237" i="34" s="1"/>
  <c r="G23" i="36"/>
  <c r="C140" i="34"/>
  <c r="J140" i="34" s="1"/>
  <c r="I202" i="34"/>
  <c r="I214" i="34" s="1"/>
  <c r="I219" i="34" s="1"/>
  <c r="F202" i="34"/>
  <c r="F207" i="34" s="1"/>
  <c r="F210" i="34" s="1"/>
  <c r="F215" i="34" s="1"/>
  <c r="F220" i="34" s="1"/>
  <c r="F236" i="34" s="1"/>
  <c r="F57" i="34"/>
  <c r="F60" i="34" s="1"/>
  <c r="F65" i="34" s="1"/>
  <c r="G167" i="34"/>
  <c r="A78" i="36"/>
  <c r="A80" i="36" s="1"/>
  <c r="A82" i="36" s="1"/>
  <c r="A84" i="36" s="1"/>
  <c r="A85" i="36" s="1"/>
  <c r="A86" i="36" s="1"/>
  <c r="A87" i="36" s="1"/>
  <c r="A88" i="36" s="1"/>
  <c r="A89" i="36" s="1"/>
  <c r="D52" i="5" s="1"/>
  <c r="F144" i="34"/>
  <c r="F147" i="34" s="1"/>
  <c r="F152" i="34" s="1"/>
  <c r="F153" i="34" s="1"/>
  <c r="F155" i="34" s="1"/>
  <c r="F171" i="34" s="1"/>
  <c r="F174" i="34" s="1"/>
  <c r="F167" i="34"/>
  <c r="G69" i="36"/>
  <c r="G75" i="36" s="1"/>
  <c r="E36" i="5"/>
  <c r="J32" i="34"/>
  <c r="J166" i="34"/>
  <c r="C64" i="34"/>
  <c r="C66" i="34" s="1"/>
  <c r="C68" i="34" s="1"/>
  <c r="C84" i="34" s="1"/>
  <c r="C87" i="34" s="1"/>
  <c r="C30" i="40"/>
  <c r="I167" i="34"/>
  <c r="I151" i="34"/>
  <c r="I144" i="34"/>
  <c r="I147" i="34" s="1"/>
  <c r="I152" i="34" s="1"/>
  <c r="I57" i="34"/>
  <c r="I60" i="34" s="1"/>
  <c r="I65" i="34" s="1"/>
  <c r="H229" i="34"/>
  <c r="H234" i="34" s="1"/>
  <c r="H237" i="34" s="1"/>
  <c r="C80" i="34"/>
  <c r="I27" i="5"/>
  <c r="G82" i="2"/>
  <c r="C202" i="34"/>
  <c r="C214" i="34" s="1"/>
  <c r="C219" i="34" s="1"/>
  <c r="L45" i="2"/>
  <c r="O436" i="13"/>
  <c r="I218" i="34"/>
  <c r="G89" i="36"/>
  <c r="C22" i="31"/>
  <c r="C167" i="34"/>
  <c r="C144" i="34"/>
  <c r="J139" i="34"/>
  <c r="E229" i="34"/>
  <c r="I80" i="34"/>
  <c r="I64" i="34"/>
  <c r="E167" i="34"/>
  <c r="E144" i="34"/>
  <c r="E147" i="34" s="1"/>
  <c r="E152" i="34" s="1"/>
  <c r="E151" i="34"/>
  <c r="J199" i="34"/>
  <c r="J229" i="34" s="1"/>
  <c r="O871" i="13"/>
  <c r="I229" i="34"/>
  <c r="G234" i="2"/>
  <c r="J234" i="2" s="1"/>
  <c r="E22" i="20" s="1"/>
  <c r="E43" i="11"/>
  <c r="E102" i="31"/>
  <c r="I22" i="31"/>
  <c r="O175" i="13"/>
  <c r="G166" i="2"/>
  <c r="G149" i="2"/>
  <c r="G151" i="2" s="1"/>
  <c r="E20" i="5"/>
  <c r="O523" i="13"/>
  <c r="K53" i="11"/>
  <c r="K55" i="11" s="1"/>
  <c r="K57" i="11" s="1"/>
  <c r="K58" i="11" s="1"/>
  <c r="K61" i="11"/>
  <c r="K63" i="11" s="1"/>
  <c r="K65" i="11" s="1"/>
  <c r="K67" i="11" s="1"/>
  <c r="K68" i="11" s="1"/>
  <c r="O610" i="13"/>
  <c r="S33" i="21"/>
  <c r="L187" i="2" s="1"/>
  <c r="I19" i="5"/>
  <c r="I35" i="5"/>
  <c r="O784" i="13"/>
  <c r="N21" i="13"/>
  <c r="O21" i="13"/>
  <c r="O88" i="13"/>
  <c r="G51" i="36"/>
  <c r="L21" i="41"/>
  <c r="G180" i="2"/>
  <c r="G178" i="2"/>
  <c r="G179" i="2"/>
  <c r="I33" i="5"/>
  <c r="G88" i="2" s="1"/>
  <c r="G36" i="5"/>
  <c r="E103" i="2"/>
  <c r="A27" i="6"/>
  <c r="A29" i="6" s="1"/>
  <c r="A30" i="6" s="1"/>
  <c r="A31" i="6" s="1"/>
  <c r="E79" i="6"/>
  <c r="E30" i="6" s="1"/>
  <c r="E31" i="6" s="1"/>
  <c r="G107" i="2" s="1"/>
  <c r="L107" i="2" s="1"/>
  <c r="K79" i="6"/>
  <c r="K30" i="6" s="1"/>
  <c r="K31" i="6" s="1"/>
  <c r="G23" i="41"/>
  <c r="I22" i="41"/>
  <c r="L22" i="41" s="1"/>
  <c r="J44" i="34"/>
  <c r="C53" i="34"/>
  <c r="A48" i="39"/>
  <c r="A49" i="39" s="1"/>
  <c r="C70" i="13"/>
  <c r="B33" i="2"/>
  <c r="B34" i="2" s="1"/>
  <c r="D33" i="2"/>
  <c r="C70" i="20"/>
  <c r="E28" i="5"/>
  <c r="I25" i="5"/>
  <c r="G213" i="34"/>
  <c r="G229" i="34"/>
  <c r="G44" i="5"/>
  <c r="G64" i="34"/>
  <c r="G80" i="34"/>
  <c r="G202" i="34"/>
  <c r="G57" i="34"/>
  <c r="G60" i="34" s="1"/>
  <c r="G65" i="34" s="1"/>
  <c r="J216" i="34"/>
  <c r="H254" i="2" s="1"/>
  <c r="J38" i="34"/>
  <c r="H57" i="34"/>
  <c r="H60" i="34" s="1"/>
  <c r="H65" i="34" s="1"/>
  <c r="H80" i="34"/>
  <c r="H64" i="34"/>
  <c r="H202" i="34"/>
  <c r="G51" i="11"/>
  <c r="G61" i="11" s="1"/>
  <c r="M48" i="11"/>
  <c r="I24" i="35"/>
  <c r="G25" i="35"/>
  <c r="A50" i="11"/>
  <c r="A51" i="11" s="1"/>
  <c r="E144" i="2"/>
  <c r="E145" i="2"/>
  <c r="I17" i="5"/>
  <c r="G20" i="5"/>
  <c r="A49" i="38"/>
  <c r="A50" i="38" s="1"/>
  <c r="A51" i="38" s="1"/>
  <c r="A52" i="38" s="1"/>
  <c r="A53" i="38" s="1"/>
  <c r="A54" i="38" s="1"/>
  <c r="A55" i="38" s="1"/>
  <c r="A56" i="38" s="1"/>
  <c r="A57" i="38" s="1"/>
  <c r="A58" i="38" s="1"/>
  <c r="A59" i="38" s="1"/>
  <c r="A60" i="38" s="1"/>
  <c r="A61" i="38" s="1"/>
  <c r="A62" i="38" s="1"/>
  <c r="E73" i="2"/>
  <c r="E75" i="2"/>
  <c r="E71" i="2"/>
  <c r="E74" i="2"/>
  <c r="E72" i="2"/>
  <c r="E80" i="34"/>
  <c r="E57" i="34"/>
  <c r="E202" i="34"/>
  <c r="E64" i="34"/>
  <c r="G51" i="5"/>
  <c r="I49" i="5"/>
  <c r="I51" i="5" s="1"/>
  <c r="G90" i="2" s="1"/>
  <c r="E216" i="34"/>
  <c r="E218" i="34" s="1"/>
  <c r="G233" i="2"/>
  <c r="E57" i="39"/>
  <c r="A26" i="5"/>
  <c r="A27" i="5" s="1"/>
  <c r="A28" i="5" s="1"/>
  <c r="A31" i="5" s="1"/>
  <c r="A33" i="5" s="1"/>
  <c r="J52" i="34"/>
  <c r="A33" i="40"/>
  <c r="E146" i="2" s="1"/>
  <c r="C33" i="40"/>
  <c r="A28" i="34" l="1"/>
  <c r="A29" i="34" s="1"/>
  <c r="F66" i="34"/>
  <c r="F70" i="34" s="1"/>
  <c r="F86" i="34" s="1"/>
  <c r="F234" i="34"/>
  <c r="F237" i="34" s="1"/>
  <c r="H153" i="34"/>
  <c r="H155" i="34" s="1"/>
  <c r="H171" i="34" s="1"/>
  <c r="H174" i="34" s="1"/>
  <c r="F214" i="34"/>
  <c r="F219" i="34" s="1"/>
  <c r="F230" i="34"/>
  <c r="I230" i="34"/>
  <c r="I235" i="34" s="1"/>
  <c r="I66" i="34"/>
  <c r="I70" i="34" s="1"/>
  <c r="I86" i="34" s="1"/>
  <c r="I207" i="34"/>
  <c r="I210" i="34" s="1"/>
  <c r="I215" i="34" s="1"/>
  <c r="I220" i="34" s="1"/>
  <c r="I236" i="34" s="1"/>
  <c r="C230" i="34"/>
  <c r="C235" i="34" s="1"/>
  <c r="C207" i="34"/>
  <c r="C210" i="34" s="1"/>
  <c r="C215" i="34" s="1"/>
  <c r="C220" i="34" s="1"/>
  <c r="C236" i="34" s="1"/>
  <c r="L241" i="2"/>
  <c r="E57" i="11"/>
  <c r="E58" i="11" s="1"/>
  <c r="G57" i="11"/>
  <c r="C51" i="11"/>
  <c r="I57" i="11"/>
  <c r="I58" i="11" s="1"/>
  <c r="I59" i="11" s="1"/>
  <c r="I153" i="34"/>
  <c r="I157" i="34" s="1"/>
  <c r="I173" i="34" s="1"/>
  <c r="D28" i="5"/>
  <c r="E22" i="13"/>
  <c r="E234" i="34"/>
  <c r="E237" i="34" s="1"/>
  <c r="J167" i="34"/>
  <c r="J151" i="34"/>
  <c r="C69" i="34"/>
  <c r="C85" i="34" s="1"/>
  <c r="E153" i="34"/>
  <c r="E157" i="34" s="1"/>
  <c r="E173" i="34" s="1"/>
  <c r="C147" i="34"/>
  <c r="C152" i="34" s="1"/>
  <c r="C153" i="34" s="1"/>
  <c r="C156" i="34" s="1"/>
  <c r="C172" i="34" s="1"/>
  <c r="J144" i="34"/>
  <c r="J147" i="34" s="1"/>
  <c r="J152" i="34" s="1"/>
  <c r="C70" i="34"/>
  <c r="C86" i="34" s="1"/>
  <c r="E67" i="11"/>
  <c r="E68" i="11" s="1"/>
  <c r="E69" i="11" s="1"/>
  <c r="I234" i="34"/>
  <c r="I237" i="34" s="1"/>
  <c r="I67" i="11"/>
  <c r="I68" i="11" s="1"/>
  <c r="I69" i="11" s="1"/>
  <c r="G67" i="11"/>
  <c r="P21" i="13"/>
  <c r="G108" i="2"/>
  <c r="I36" i="5"/>
  <c r="L88" i="2" s="1"/>
  <c r="G86" i="2"/>
  <c r="I20" i="5"/>
  <c r="L86" i="2" s="1"/>
  <c r="G216" i="34"/>
  <c r="G218" i="34" s="1"/>
  <c r="G234" i="34" s="1"/>
  <c r="G237" i="34" s="1"/>
  <c r="A50" i="39"/>
  <c r="A51" i="39" s="1"/>
  <c r="A52" i="39" s="1"/>
  <c r="A53" i="39" s="1"/>
  <c r="A54" i="39" s="1"/>
  <c r="A55" i="39" s="1"/>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J64" i="34"/>
  <c r="J80" i="34"/>
  <c r="J202" i="34"/>
  <c r="F156" i="34"/>
  <c r="F172" i="34" s="1"/>
  <c r="F157" i="34"/>
  <c r="F173" i="34" s="1"/>
  <c r="E214" i="34"/>
  <c r="E219" i="34" s="1"/>
  <c r="E230" i="34"/>
  <c r="E207" i="34"/>
  <c r="E210" i="34" s="1"/>
  <c r="E215" i="34" s="1"/>
  <c r="E220" i="34" s="1"/>
  <c r="E236" i="34" s="1"/>
  <c r="D205" i="2"/>
  <c r="D206" i="2"/>
  <c r="I25" i="35"/>
  <c r="L25" i="35" s="1"/>
  <c r="G26" i="35"/>
  <c r="M51" i="11"/>
  <c r="G53" i="11"/>
  <c r="H66" i="34"/>
  <c r="H68" i="34" s="1"/>
  <c r="H84" i="34" s="1"/>
  <c r="H87" i="34" s="1"/>
  <c r="J218" i="34"/>
  <c r="G230" i="34"/>
  <c r="G214" i="34"/>
  <c r="G207" i="34"/>
  <c r="G210" i="34" s="1"/>
  <c r="G215" i="34" s="1"/>
  <c r="C203" i="34"/>
  <c r="J53" i="34"/>
  <c r="J203" i="34" s="1"/>
  <c r="L242" i="2" s="1"/>
  <c r="J252" i="2" s="1"/>
  <c r="G63" i="11"/>
  <c r="M61" i="11"/>
  <c r="G66" i="34"/>
  <c r="G68" i="34" s="1"/>
  <c r="G84" i="34" s="1"/>
  <c r="G87" i="34" s="1"/>
  <c r="B36" i="2"/>
  <c r="B39" i="2" s="1"/>
  <c r="B41" i="2" s="1"/>
  <c r="B21" i="2"/>
  <c r="A34" i="5"/>
  <c r="A35" i="5" s="1"/>
  <c r="A36" i="5" s="1"/>
  <c r="A39" i="5" s="1"/>
  <c r="A41" i="5" s="1"/>
  <c r="J233" i="2"/>
  <c r="A52" i="11"/>
  <c r="A53" i="11" s="1"/>
  <c r="H207" i="34"/>
  <c r="H210" i="34" s="1"/>
  <c r="H215" i="34" s="1"/>
  <c r="H220" i="34" s="1"/>
  <c r="H236" i="34" s="1"/>
  <c r="H230" i="34"/>
  <c r="H214" i="34"/>
  <c r="H219" i="34" s="1"/>
  <c r="G24" i="41"/>
  <c r="I23" i="41"/>
  <c r="L23" i="41" s="1"/>
  <c r="E87" i="2"/>
  <c r="G155" i="34"/>
  <c r="G171" i="34" s="1"/>
  <c r="G174" i="34" s="1"/>
  <c r="G156" i="34"/>
  <c r="G172" i="34" s="1"/>
  <c r="E60" i="34"/>
  <c r="E65" i="34" s="1"/>
  <c r="J57" i="34"/>
  <c r="J60" i="34" s="1"/>
  <c r="J65" i="34" s="1"/>
  <c r="C61" i="11"/>
  <c r="L24" i="35"/>
  <c r="G87" i="2"/>
  <c r="I28" i="5"/>
  <c r="L87" i="2" s="1"/>
  <c r="F68" i="34" l="1"/>
  <c r="F84" i="34" s="1"/>
  <c r="F87" i="34" s="1"/>
  <c r="I69" i="34"/>
  <c r="I85" i="34" s="1"/>
  <c r="F235" i="34"/>
  <c r="I68" i="34"/>
  <c r="I84" i="34" s="1"/>
  <c r="I87" i="34" s="1"/>
  <c r="F69" i="34"/>
  <c r="F85" i="34" s="1"/>
  <c r="H157" i="34"/>
  <c r="H173" i="34" s="1"/>
  <c r="H156" i="34"/>
  <c r="H172" i="34" s="1"/>
  <c r="C157" i="34"/>
  <c r="C173" i="34" s="1"/>
  <c r="M57" i="11"/>
  <c r="C155" i="34"/>
  <c r="C171" i="34" s="1"/>
  <c r="C174" i="34" s="1"/>
  <c r="I156" i="34"/>
  <c r="I172" i="34" s="1"/>
  <c r="I155" i="34"/>
  <c r="I171" i="34" s="1"/>
  <c r="I174" i="34" s="1"/>
  <c r="E88" i="2"/>
  <c r="G220" i="34"/>
  <c r="G236" i="34" s="1"/>
  <c r="G219" i="34"/>
  <c r="G235" i="34" s="1"/>
  <c r="D36" i="5"/>
  <c r="J153" i="34"/>
  <c r="E155" i="34"/>
  <c r="E171" i="34" s="1"/>
  <c r="E174" i="34" s="1"/>
  <c r="E156" i="34"/>
  <c r="E172" i="34" s="1"/>
  <c r="G69" i="34"/>
  <c r="G85" i="34" s="1"/>
  <c r="E235" i="34"/>
  <c r="J66" i="34"/>
  <c r="J68" i="34" s="1"/>
  <c r="J84" i="34" s="1"/>
  <c r="J87" i="34" s="1"/>
  <c r="A57" i="39"/>
  <c r="B57" i="39"/>
  <c r="E223" i="2"/>
  <c r="G25" i="41"/>
  <c r="I24" i="41"/>
  <c r="L24" i="41" s="1"/>
  <c r="E21" i="13"/>
  <c r="E21" i="20"/>
  <c r="J207" i="34"/>
  <c r="A70" i="6"/>
  <c r="A71" i="6" s="1"/>
  <c r="A72" i="6"/>
  <c r="A73" i="6" s="1"/>
  <c r="A74" i="6" s="1"/>
  <c r="A75" i="6" s="1"/>
  <c r="A76" i="6" s="1"/>
  <c r="A77" i="6" s="1"/>
  <c r="A78" i="6" s="1"/>
  <c r="M53" i="11"/>
  <c r="G55" i="11"/>
  <c r="G58" i="11" s="1"/>
  <c r="M58" i="11" s="1"/>
  <c r="E59" i="11"/>
  <c r="A54" i="11"/>
  <c r="A55" i="11" s="1"/>
  <c r="A30" i="34"/>
  <c r="A31" i="34" s="1"/>
  <c r="G27" i="35"/>
  <c r="I26" i="35"/>
  <c r="E66" i="34"/>
  <c r="E70" i="34" s="1"/>
  <c r="E86" i="34" s="1"/>
  <c r="J230" i="34"/>
  <c r="J214" i="34"/>
  <c r="J219" i="34" s="1"/>
  <c r="G70" i="34"/>
  <c r="G86" i="34" s="1"/>
  <c r="H235" i="34"/>
  <c r="C53" i="11"/>
  <c r="A42" i="5"/>
  <c r="A43" i="5" s="1"/>
  <c r="A44" i="5" s="1"/>
  <c r="A47" i="5" s="1"/>
  <c r="A49" i="5" s="1"/>
  <c r="B42" i="2"/>
  <c r="G65" i="11"/>
  <c r="G68" i="11" s="1"/>
  <c r="M68" i="11" s="1"/>
  <c r="M63" i="11"/>
  <c r="J234" i="34"/>
  <c r="J237" i="34" s="1"/>
  <c r="G251" i="2"/>
  <c r="H69" i="34"/>
  <c r="H85" i="34" s="1"/>
  <c r="B55" i="39"/>
  <c r="H70" i="34"/>
  <c r="H86" i="34" s="1"/>
  <c r="D44" i="5" l="1"/>
  <c r="E89" i="2"/>
  <c r="C55" i="11"/>
  <c r="B31" i="34"/>
  <c r="J70" i="34"/>
  <c r="J86" i="34" s="1"/>
  <c r="J155" i="34"/>
  <c r="J171" i="34" s="1"/>
  <c r="J174" i="34" s="1"/>
  <c r="J156" i="34"/>
  <c r="J172" i="34" s="1"/>
  <c r="J157" i="34"/>
  <c r="J173" i="34" s="1"/>
  <c r="L245" i="2"/>
  <c r="L248" i="2" s="1"/>
  <c r="J210" i="34"/>
  <c r="J215" i="34" s="1"/>
  <c r="J220" i="34" s="1"/>
  <c r="L26" i="35"/>
  <c r="G252" i="2"/>
  <c r="J235" i="34"/>
  <c r="G28" i="35"/>
  <c r="I27" i="35"/>
  <c r="L27" i="35" s="1"/>
  <c r="C56" i="11"/>
  <c r="A56" i="11"/>
  <c r="A60" i="39"/>
  <c r="A63" i="39" s="1"/>
  <c r="A64" i="39" s="1"/>
  <c r="A65" i="39" s="1"/>
  <c r="A66" i="39" s="1"/>
  <c r="A68" i="39" s="1"/>
  <c r="D233" i="2"/>
  <c r="H251" i="2"/>
  <c r="J251" i="2" s="1"/>
  <c r="L251" i="2" s="1"/>
  <c r="L254" i="2" s="1"/>
  <c r="A50" i="5"/>
  <c r="A51" i="5" s="1"/>
  <c r="B43" i="2"/>
  <c r="E68" i="34"/>
  <c r="E84" i="34" s="1"/>
  <c r="E87" i="34" s="1"/>
  <c r="E69" i="34"/>
  <c r="E85" i="34" s="1"/>
  <c r="A32" i="34"/>
  <c r="B32" i="34"/>
  <c r="G26" i="41"/>
  <c r="I25" i="41"/>
  <c r="L25" i="41" s="1"/>
  <c r="J69" i="34"/>
  <c r="J85" i="34" s="1"/>
  <c r="A52" i="5" l="1"/>
  <c r="E90" i="2" s="1"/>
  <c r="L252" i="2"/>
  <c r="H252" i="2"/>
  <c r="B45" i="2"/>
  <c r="B63" i="2" s="1"/>
  <c r="E45" i="2"/>
  <c r="G253" i="2"/>
  <c r="J236" i="34"/>
  <c r="G27" i="41"/>
  <c r="I26" i="41"/>
  <c r="L26" i="41" s="1"/>
  <c r="A34" i="34"/>
  <c r="D305" i="2"/>
  <c r="C57" i="11"/>
  <c r="A57" i="11"/>
  <c r="I28" i="35"/>
  <c r="L28" i="35" s="1"/>
  <c r="G29" i="35"/>
  <c r="D51" i="5"/>
  <c r="A74" i="39"/>
  <c r="A75" i="39" s="1"/>
  <c r="B50" i="39"/>
  <c r="A35" i="34" l="1"/>
  <c r="A58" i="11"/>
  <c r="C58" i="11"/>
  <c r="I27" i="41"/>
  <c r="L27" i="41" s="1"/>
  <c r="G28" i="41"/>
  <c r="E224" i="2"/>
  <c r="A76" i="39"/>
  <c r="B76" i="39"/>
  <c r="G30" i="35"/>
  <c r="I29" i="35"/>
  <c r="L253" i="2"/>
  <c r="H253" i="2"/>
  <c r="C75" i="13"/>
  <c r="B64" i="2"/>
  <c r="B65" i="2" s="1"/>
  <c r="E204" i="2"/>
  <c r="C75" i="20"/>
  <c r="B66" i="2" l="1"/>
  <c r="B67" i="2" s="1"/>
  <c r="A36" i="34"/>
  <c r="A37" i="34" s="1"/>
  <c r="G29" i="41"/>
  <c r="I28" i="41"/>
  <c r="L28" i="41" s="1"/>
  <c r="L29" i="35"/>
  <c r="G31" i="35"/>
  <c r="I30" i="35"/>
  <c r="L30" i="35" s="1"/>
  <c r="C59" i="11"/>
  <c r="A59" i="11"/>
  <c r="A61" i="11" s="1"/>
  <c r="A62" i="11" s="1"/>
  <c r="A63" i="11" s="1"/>
  <c r="B68" i="2" l="1"/>
  <c r="B70" i="2" s="1"/>
  <c r="B71" i="2" s="1"/>
  <c r="E68" i="2"/>
  <c r="B37" i="34"/>
  <c r="I29" i="41"/>
  <c r="L29" i="41" s="1"/>
  <c r="G30" i="41"/>
  <c r="G32" i="35"/>
  <c r="I31" i="35"/>
  <c r="L31" i="35" s="1"/>
  <c r="A38" i="34"/>
  <c r="B38" i="34"/>
  <c r="A64" i="11"/>
  <c r="A65" i="11" s="1"/>
  <c r="C65" i="11" l="1"/>
  <c r="B72" i="2"/>
  <c r="B73" i="2" s="1"/>
  <c r="C66" i="11"/>
  <c r="A66" i="11"/>
  <c r="A67" i="11" s="1"/>
  <c r="C68" i="11" s="1"/>
  <c r="G31" i="41"/>
  <c r="I30" i="41"/>
  <c r="L30" i="41" s="1"/>
  <c r="I32" i="35"/>
  <c r="G39" i="35"/>
  <c r="G36" i="35"/>
  <c r="A40" i="34"/>
  <c r="A41" i="34" l="1"/>
  <c r="L32" i="35"/>
  <c r="L33" i="35" s="1"/>
  <c r="E36" i="35" s="1"/>
  <c r="I36" i="35" s="1"/>
  <c r="I33" i="35"/>
  <c r="G32" i="41"/>
  <c r="I31" i="41"/>
  <c r="L31" i="41" s="1"/>
  <c r="B74" i="2"/>
  <c r="B75" i="2" s="1"/>
  <c r="G40" i="35"/>
  <c r="C67" i="11"/>
  <c r="A68" i="11"/>
  <c r="E79" i="2"/>
  <c r="E80" i="2" l="1"/>
  <c r="I32" i="41"/>
  <c r="G39" i="41"/>
  <c r="G36" i="41"/>
  <c r="G41" i="35"/>
  <c r="A42" i="34"/>
  <c r="A43" i="34" s="1"/>
  <c r="B76" i="2"/>
  <c r="B78" i="2" s="1"/>
  <c r="B79" i="2" s="1"/>
  <c r="E81" i="2"/>
  <c r="E76" i="2"/>
  <c r="L36" i="35"/>
  <c r="C69" i="11"/>
  <c r="A69" i="11"/>
  <c r="B43" i="34" l="1"/>
  <c r="E39" i="35"/>
  <c r="J39" i="35"/>
  <c r="L32" i="41"/>
  <c r="L33" i="41" s="1"/>
  <c r="E36" i="41" s="1"/>
  <c r="I36" i="41" s="1"/>
  <c r="I33" i="41"/>
  <c r="G42" i="35"/>
  <c r="C64" i="13"/>
  <c r="B80" i="2"/>
  <c r="B81" i="2" s="1"/>
  <c r="B82" i="2" s="1"/>
  <c r="C48" i="11" s="1"/>
  <c r="C64" i="20"/>
  <c r="A44" i="34"/>
  <c r="B44" i="34"/>
  <c r="G40" i="41"/>
  <c r="J40" i="35" l="1"/>
  <c r="J41" i="35" s="1"/>
  <c r="J42" i="35" s="1"/>
  <c r="J43" i="35" s="1"/>
  <c r="J44" i="35" s="1"/>
  <c r="J45" i="35" s="1"/>
  <c r="J46" i="35" s="1"/>
  <c r="J47" i="35" s="1"/>
  <c r="J48" i="35" s="1"/>
  <c r="J49" i="35" s="1"/>
  <c r="J50" i="35" s="1"/>
  <c r="G43" i="35"/>
  <c r="G41" i="41"/>
  <c r="E82" i="2"/>
  <c r="L39" i="35"/>
  <c r="E40" i="35" s="1"/>
  <c r="I39" i="35"/>
  <c r="A46" i="34"/>
  <c r="B85" i="2"/>
  <c r="B86" i="2" s="1"/>
  <c r="L36" i="41"/>
  <c r="G42" i="41" l="1"/>
  <c r="A47" i="34"/>
  <c r="L40" i="35"/>
  <c r="E41" i="35" s="1"/>
  <c r="I40" i="35"/>
  <c r="E39" i="41"/>
  <c r="J39" i="41"/>
  <c r="B87" i="2"/>
  <c r="B88" i="2" s="1"/>
  <c r="B89" i="2" s="1"/>
  <c r="B90" i="2" s="1"/>
  <c r="B91" i="2" s="1"/>
  <c r="G44" i="35"/>
  <c r="J53" i="35"/>
  <c r="J55" i="35" s="1"/>
  <c r="J40" i="41" l="1"/>
  <c r="J41" i="41" s="1"/>
  <c r="J42" i="41" s="1"/>
  <c r="J43" i="41" s="1"/>
  <c r="J44" i="41" s="1"/>
  <c r="J45" i="41" s="1"/>
  <c r="J46" i="41" s="1"/>
  <c r="J47" i="41" s="1"/>
  <c r="J48" i="41" s="1"/>
  <c r="J49" i="41" s="1"/>
  <c r="J50" i="41" s="1"/>
  <c r="B93" i="2"/>
  <c r="B95" i="2" s="1"/>
  <c r="B97" i="2" s="1"/>
  <c r="B99" i="2" s="1"/>
  <c r="B100" i="2" s="1"/>
  <c r="L39" i="41"/>
  <c r="E40" i="41" s="1"/>
  <c r="I39" i="41"/>
  <c r="E91" i="2"/>
  <c r="A48" i="34"/>
  <c r="A49" i="34" s="1"/>
  <c r="L41" i="35"/>
  <c r="E42" i="35" s="1"/>
  <c r="I41" i="35"/>
  <c r="G43" i="41"/>
  <c r="G45" i="35"/>
  <c r="B49" i="34" l="1"/>
  <c r="J53" i="41"/>
  <c r="J55" i="41" s="1"/>
  <c r="A50" i="34"/>
  <c r="B52" i="34"/>
  <c r="B50" i="34"/>
  <c r="G46" i="35"/>
  <c r="L42" i="35"/>
  <c r="E43" i="35" s="1"/>
  <c r="I42" i="35"/>
  <c r="L40" i="41"/>
  <c r="E41" i="41" s="1"/>
  <c r="I40" i="41"/>
  <c r="G44" i="41"/>
  <c r="B101" i="2"/>
  <c r="B102" i="2" s="1"/>
  <c r="B103" i="2" s="1"/>
  <c r="B104" i="2" s="1"/>
  <c r="B105" i="2" s="1"/>
  <c r="B106" i="2" s="1"/>
  <c r="B107" i="2" s="1"/>
  <c r="B108" i="2" s="1"/>
  <c r="E108" i="2" l="1"/>
  <c r="L41" i="41"/>
  <c r="E42" i="41" s="1"/>
  <c r="I41" i="41"/>
  <c r="B110" i="2"/>
  <c r="D112" i="2" s="1"/>
  <c r="G45" i="41"/>
  <c r="G47" i="35"/>
  <c r="L43" i="35"/>
  <c r="E44" i="35" s="1"/>
  <c r="I43" i="35"/>
  <c r="A52" i="34"/>
  <c r="B53" i="34"/>
  <c r="B57" i="34" l="1"/>
  <c r="A53" i="34"/>
  <c r="B64" i="34"/>
  <c r="G48" i="35"/>
  <c r="L42" i="41"/>
  <c r="E43" i="41" s="1"/>
  <c r="I42" i="41"/>
  <c r="L44" i="35"/>
  <c r="E45" i="35" s="1"/>
  <c r="I44" i="35"/>
  <c r="B112" i="2"/>
  <c r="D301" i="2"/>
  <c r="G46" i="41"/>
  <c r="B80" i="34" l="1"/>
  <c r="B203" i="34"/>
  <c r="A56" i="34"/>
  <c r="G47" i="41"/>
  <c r="L43" i="41"/>
  <c r="E44" i="41" s="1"/>
  <c r="I43" i="41"/>
  <c r="C28" i="13"/>
  <c r="C28" i="20"/>
  <c r="B127" i="2"/>
  <c r="L45" i="35"/>
  <c r="E46" i="35" s="1"/>
  <c r="I45" i="35"/>
  <c r="G49" i="35"/>
  <c r="L46" i="35" l="1"/>
  <c r="E47" i="35" s="1"/>
  <c r="I46" i="35"/>
  <c r="L44" i="41"/>
  <c r="E45" i="41" s="1"/>
  <c r="I44" i="41"/>
  <c r="A57" i="34"/>
  <c r="A58" i="34" s="1"/>
  <c r="G50" i="35"/>
  <c r="B128" i="2"/>
  <c r="B129" i="2" s="1"/>
  <c r="E130" i="2" s="1"/>
  <c r="G48" i="41"/>
  <c r="L45" i="41" l="1"/>
  <c r="E46" i="41" s="1"/>
  <c r="I45" i="41"/>
  <c r="G49" i="41"/>
  <c r="B130" i="2"/>
  <c r="B131" i="2" s="1"/>
  <c r="A59" i="34"/>
  <c r="L47" i="35"/>
  <c r="E48" i="35" s="1"/>
  <c r="I47" i="35"/>
  <c r="L48" i="35" l="1"/>
  <c r="E49" i="35" s="1"/>
  <c r="I48" i="35"/>
  <c r="A60" i="34"/>
  <c r="E41" i="2"/>
  <c r="B132" i="2"/>
  <c r="B133" i="2" s="1"/>
  <c r="D296" i="2"/>
  <c r="G50" i="41"/>
  <c r="L46" i="41"/>
  <c r="E47" i="41" s="1"/>
  <c r="I46" i="41"/>
  <c r="E134" i="2" l="1"/>
  <c r="L49" i="35"/>
  <c r="E50" i="35" s="1"/>
  <c r="I49" i="35"/>
  <c r="L47" i="41"/>
  <c r="E48" i="41" s="1"/>
  <c r="I47" i="41"/>
  <c r="D298" i="2"/>
  <c r="B134" i="2"/>
  <c r="A63" i="34"/>
  <c r="B65" i="34"/>
  <c r="A64" i="34" l="1"/>
  <c r="D295" i="2"/>
  <c r="E100" i="2"/>
  <c r="B136" i="2"/>
  <c r="L50" i="35"/>
  <c r="I50" i="35"/>
  <c r="I51" i="35" s="1"/>
  <c r="L48" i="41"/>
  <c r="E49" i="41" s="1"/>
  <c r="I48" i="41"/>
  <c r="L49" i="41" l="1"/>
  <c r="E50" i="41" s="1"/>
  <c r="I49" i="41"/>
  <c r="B137" i="2"/>
  <c r="A65" i="34"/>
  <c r="A66" i="34" l="1"/>
  <c r="B70" i="34" s="1"/>
  <c r="L50" i="41"/>
  <c r="I50" i="41"/>
  <c r="I51" i="41" s="1"/>
  <c r="E142" i="2"/>
  <c r="B138" i="2"/>
  <c r="B139" i="2" s="1"/>
  <c r="B140" i="2" s="1"/>
  <c r="B141" i="2" l="1"/>
  <c r="E141" i="2"/>
  <c r="A68" i="34"/>
  <c r="B68" i="34"/>
  <c r="B69" i="34"/>
  <c r="B142" i="2" l="1"/>
  <c r="B143" i="2" s="1"/>
  <c r="B144" i="2" s="1"/>
  <c r="B145" i="2" s="1"/>
  <c r="B146" i="2" s="1"/>
  <c r="B147" i="2" s="1"/>
  <c r="A69" i="34"/>
  <c r="B149" i="2" l="1"/>
  <c r="D299" i="2"/>
  <c r="E149" i="2"/>
  <c r="E147" i="2"/>
  <c r="A70" i="34"/>
  <c r="B150" i="2" l="1"/>
  <c r="A72" i="34"/>
  <c r="A74" i="34" s="1"/>
  <c r="A75" i="34" s="1"/>
  <c r="A76" i="34" s="1"/>
  <c r="A79" i="34" s="1"/>
  <c r="C48" i="13" l="1"/>
  <c r="D314" i="2"/>
  <c r="E27" i="2"/>
  <c r="C48" i="20"/>
  <c r="B151" i="2"/>
  <c r="D312" i="2"/>
  <c r="D309" i="2"/>
  <c r="A80" i="34"/>
  <c r="B84" i="34"/>
  <c r="E151" i="2"/>
  <c r="B153" i="2" l="1"/>
  <c r="B154" i="2" s="1"/>
  <c r="A81" i="34"/>
  <c r="B85" i="34"/>
  <c r="A84" i="34" l="1"/>
  <c r="A85" i="34" s="1"/>
  <c r="A86" i="34" s="1"/>
  <c r="A87" i="34" s="1"/>
  <c r="A96" i="34" s="1"/>
  <c r="B86" i="34"/>
  <c r="C59" i="13"/>
  <c r="C76" i="13"/>
  <c r="B155" i="2"/>
  <c r="B156" i="2" s="1"/>
  <c r="B157" i="2" s="1"/>
  <c r="C76" i="20"/>
  <c r="C59" i="20"/>
  <c r="E31" i="2"/>
  <c r="E157" i="2" l="1"/>
  <c r="A97" i="34"/>
  <c r="B183" i="34"/>
  <c r="B159" i="2"/>
  <c r="B160" i="2" s="1"/>
  <c r="B161" i="2" s="1"/>
  <c r="A98" i="34" l="1"/>
  <c r="B184" i="34"/>
  <c r="B162" i="2"/>
  <c r="B163" i="2" s="1"/>
  <c r="B164" i="2" s="1"/>
  <c r="B165" i="2" s="1"/>
  <c r="B166" i="2" s="1"/>
  <c r="E166" i="2" l="1"/>
  <c r="A99" i="34"/>
  <c r="B185" i="34"/>
  <c r="B168" i="2"/>
  <c r="B169" i="2" s="1"/>
  <c r="D173" i="2" l="1"/>
  <c r="B170" i="2"/>
  <c r="B186" i="34"/>
  <c r="A100" i="34"/>
  <c r="A101" i="34" s="1"/>
  <c r="B150" i="34" l="1"/>
  <c r="A103" i="34"/>
  <c r="C35" i="13"/>
  <c r="C35" i="20"/>
  <c r="B171" i="2"/>
  <c r="B172" i="2" s="1"/>
  <c r="B173" i="2" s="1"/>
  <c r="B174" i="2" l="1"/>
  <c r="A106" i="34"/>
  <c r="A107" i="34" s="1"/>
  <c r="A108" i="34" s="1"/>
  <c r="A109" i="34" s="1"/>
  <c r="A110" i="34" s="1"/>
  <c r="A111" i="34" s="1"/>
  <c r="A112" i="34" s="1"/>
  <c r="B100" i="34"/>
  <c r="D339" i="2" l="1"/>
  <c r="B175" i="2"/>
  <c r="E178" i="2"/>
  <c r="A115" i="34"/>
  <c r="B166" i="34"/>
  <c r="A116" i="34" l="1"/>
  <c r="B176" i="2"/>
  <c r="E179" i="2"/>
  <c r="B177" i="2" l="1"/>
  <c r="E180" i="2"/>
  <c r="A117" i="34"/>
  <c r="A118" i="34" s="1"/>
  <c r="B178" i="2" l="1"/>
  <c r="B179" i="2" s="1"/>
  <c r="B180" i="2" s="1"/>
  <c r="B181" i="2" s="1"/>
  <c r="A119" i="34"/>
  <c r="B119" i="34"/>
  <c r="B118" i="34"/>
  <c r="C50" i="13" l="1"/>
  <c r="C50" i="20"/>
  <c r="B183" i="2"/>
  <c r="E34" i="2" s="1"/>
  <c r="A121" i="34"/>
  <c r="E181" i="2"/>
  <c r="A122" i="34" l="1"/>
  <c r="C49" i="13"/>
  <c r="C49" i="20"/>
  <c r="B185" i="2"/>
  <c r="E177" i="2"/>
  <c r="B187" i="2" l="1"/>
  <c r="D303" i="2"/>
  <c r="A123" i="34"/>
  <c r="A124" i="34" s="1"/>
  <c r="B124" i="34" l="1"/>
  <c r="A125" i="34"/>
  <c r="B125" i="34"/>
  <c r="D189" i="2"/>
  <c r="B189" i="2"/>
  <c r="A127" i="34" l="1"/>
  <c r="B191" i="2"/>
  <c r="D192" i="2"/>
  <c r="B204" i="2" l="1"/>
  <c r="E13" i="2"/>
  <c r="A128" i="34"/>
  <c r="B205" i="2" l="1"/>
  <c r="B206" i="2" s="1"/>
  <c r="B207" i="2" s="1"/>
  <c r="A129" i="34"/>
  <c r="A130" i="34" s="1"/>
  <c r="B130" i="34" l="1"/>
  <c r="E207" i="2"/>
  <c r="A131" i="34"/>
  <c r="B131" i="34"/>
  <c r="B209" i="2"/>
  <c r="B211" i="2" s="1"/>
  <c r="B212" i="2" s="1"/>
  <c r="B213" i="2" s="1"/>
  <c r="E63" i="2"/>
  <c r="E209" i="2"/>
  <c r="B214" i="2" l="1"/>
  <c r="B215" i="2" s="1"/>
  <c r="B216" i="2" s="1"/>
  <c r="B217" i="2" s="1"/>
  <c r="B219" i="2" s="1"/>
  <c r="B222" i="2" s="1"/>
  <c r="B223" i="2" s="1"/>
  <c r="A133" i="34"/>
  <c r="A134" i="34" l="1"/>
  <c r="B224" i="2"/>
  <c r="B225" i="2" s="1"/>
  <c r="B226" i="2" s="1"/>
  <c r="E217" i="2"/>
  <c r="B227" i="2" l="1"/>
  <c r="A135" i="34"/>
  <c r="A136" i="34" s="1"/>
  <c r="B136" i="34" l="1"/>
  <c r="A137" i="34"/>
  <c r="B139" i="34"/>
  <c r="B137" i="34"/>
  <c r="B228" i="2"/>
  <c r="B229" i="2" s="1"/>
  <c r="B230" i="2" s="1"/>
  <c r="D234" i="2"/>
  <c r="D235" i="2" l="1"/>
  <c r="B233" i="2"/>
  <c r="A139" i="34"/>
  <c r="B140" i="34"/>
  <c r="E230" i="2"/>
  <c r="A140" i="34" l="1"/>
  <c r="B151" i="34"/>
  <c r="B144" i="34"/>
  <c r="B202" i="34"/>
  <c r="B234" i="2"/>
  <c r="B235" i="2" s="1"/>
  <c r="C19" i="13" s="1"/>
  <c r="C19" i="20" l="1"/>
  <c r="D236" i="2"/>
  <c r="C16" i="13"/>
  <c r="B236" i="2"/>
  <c r="C16" i="20"/>
  <c r="A143" i="34"/>
  <c r="B167" i="34"/>
  <c r="A144" i="34" l="1"/>
  <c r="A145" i="34" s="1"/>
  <c r="B206" i="34"/>
  <c r="B238" i="2"/>
  <c r="B240" i="2"/>
  <c r="B241" i="2" s="1"/>
  <c r="B242" i="2" s="1"/>
  <c r="B243" i="2" s="1"/>
  <c r="B244" i="2" s="1"/>
  <c r="E183" i="2"/>
  <c r="D171" i="2"/>
  <c r="B245" i="2" l="1"/>
  <c r="B246" i="2" s="1"/>
  <c r="B247" i="2" s="1"/>
  <c r="B248" i="2" s="1"/>
  <c r="B250" i="2" s="1"/>
  <c r="B251" i="2" s="1"/>
  <c r="B252" i="2" s="1"/>
  <c r="B253" i="2" s="1"/>
  <c r="B254" i="2" s="1"/>
  <c r="A146" i="34"/>
  <c r="B208" i="34"/>
  <c r="E248" i="2" l="1"/>
  <c r="A147" i="34"/>
  <c r="B209" i="34"/>
  <c r="A150" i="34" l="1"/>
  <c r="B152" i="34"/>
  <c r="A151" i="34" l="1"/>
  <c r="A152" i="34" l="1"/>
  <c r="A153" i="34" l="1"/>
  <c r="B157" i="34" s="1"/>
  <c r="A155" i="34" l="1"/>
  <c r="B155" i="34"/>
  <c r="B156" i="34"/>
  <c r="A156" i="34" l="1"/>
  <c r="A157" i="34" l="1"/>
  <c r="A159" i="34" l="1"/>
  <c r="A161" i="34" s="1"/>
  <c r="A162" i="34" s="1"/>
  <c r="A163" i="34" s="1"/>
  <c r="A166" i="34" s="1"/>
  <c r="A167" i="34" l="1"/>
  <c r="B171" i="34"/>
  <c r="A168" i="34" l="1"/>
  <c r="B172" i="34"/>
  <c r="A171" i="34" l="1"/>
  <c r="A172" i="34" s="1"/>
  <c r="A173" i="34" s="1"/>
  <c r="A174" i="34" s="1"/>
  <c r="A183" i="34" s="1"/>
  <c r="A184" i="34" s="1"/>
  <c r="A185" i="34" s="1"/>
  <c r="A186" i="34" s="1"/>
  <c r="A187" i="34" s="1"/>
  <c r="A188" i="34" s="1"/>
  <c r="B173" i="34"/>
  <c r="A190" i="34" l="1"/>
  <c r="B213" i="34"/>
  <c r="B187" i="34" l="1"/>
  <c r="A193" i="34"/>
  <c r="A194" i="34" s="1"/>
  <c r="A195" i="34" s="1"/>
  <c r="A196" i="34" s="1"/>
  <c r="A197" i="34" s="1"/>
  <c r="A198" i="34" s="1"/>
  <c r="A199" i="34" s="1"/>
  <c r="E241" i="2" l="1"/>
  <c r="A202" i="34"/>
  <c r="B229" i="34"/>
  <c r="B214" i="34" l="1"/>
  <c r="B207" i="34"/>
  <c r="A203" i="34"/>
  <c r="E242" i="2" l="1"/>
  <c r="B230" i="34"/>
  <c r="A206" i="34"/>
  <c r="A207" i="34" l="1"/>
  <c r="E244" i="2"/>
  <c r="A208" i="34" l="1"/>
  <c r="E245" i="2"/>
  <c r="A209" i="34" l="1"/>
  <c r="E246" i="2"/>
  <c r="A210" i="34" l="1"/>
  <c r="E247" i="2"/>
  <c r="A213" i="34" l="1"/>
  <c r="B215" i="34"/>
  <c r="D251" i="2" l="1"/>
  <c r="A214" i="34"/>
  <c r="D252" i="2" l="1"/>
  <c r="A215" i="34"/>
  <c r="D253" i="2" l="1"/>
  <c r="A216" i="34"/>
  <c r="B220" i="34" s="1"/>
  <c r="D254" i="2" l="1"/>
  <c r="A218" i="34"/>
  <c r="B218" i="34"/>
  <c r="B219" i="34"/>
  <c r="A219" i="34" l="1"/>
  <c r="A220" i="34" l="1"/>
  <c r="A222" i="34" l="1"/>
  <c r="A224" i="34" s="1"/>
  <c r="A225" i="34" s="1"/>
  <c r="A226" i="34" s="1"/>
  <c r="A229" i="34" s="1"/>
  <c r="A230" i="34" l="1"/>
  <c r="B234" i="34"/>
  <c r="A231" i="34" l="1"/>
  <c r="B235" i="34"/>
  <c r="A234" i="34" l="1"/>
  <c r="A235" i="34" s="1"/>
  <c r="A236" i="34" s="1"/>
  <c r="A237" i="34" s="1"/>
  <c r="B236" i="34"/>
  <c r="O975" i="13" l="1"/>
  <c r="O974" i="13"/>
  <c r="O973" i="13"/>
  <c r="G21" i="39" l="1"/>
  <c r="G20" i="39"/>
  <c r="G19" i="39"/>
  <c r="G18" i="39"/>
  <c r="G17" i="39"/>
  <c r="G16" i="39"/>
  <c r="G15" i="39"/>
  <c r="G14" i="39"/>
  <c r="G13" i="39"/>
  <c r="G12" i="39"/>
  <c r="G11" i="39"/>
  <c r="G22" i="39" l="1"/>
  <c r="G10" i="39"/>
  <c r="C23" i="39"/>
  <c r="L226" i="2" s="1"/>
  <c r="L230" i="2" s="1"/>
  <c r="G235" i="2" s="1"/>
  <c r="G236" i="2" s="1"/>
  <c r="G23" i="39" l="1"/>
  <c r="H234" i="2"/>
  <c r="H233" i="2"/>
  <c r="H235" i="2"/>
  <c r="I235" i="2" l="1"/>
  <c r="I233" i="2" s="1"/>
  <c r="L233" i="2" s="1"/>
  <c r="D23" i="13"/>
  <c r="F23" i="13" s="1"/>
  <c r="D23" i="20"/>
  <c r="F23" i="20" s="1"/>
  <c r="D21" i="13"/>
  <c r="F21" i="13" s="1"/>
  <c r="H236" i="2"/>
  <c r="D21" i="20"/>
  <c r="F21" i="20" s="1"/>
  <c r="I234" i="2"/>
  <c r="D22" i="20"/>
  <c r="F22" i="20" s="1"/>
  <c r="D22" i="13"/>
  <c r="F22" i="13" s="1"/>
  <c r="L234" i="2"/>
  <c r="F24" i="20" l="1"/>
  <c r="F29" i="20" s="1"/>
  <c r="F24" i="13"/>
  <c r="E29" i="13" s="1"/>
  <c r="L235" i="2"/>
  <c r="L236" i="2" s="1"/>
  <c r="G170" i="2" l="1"/>
  <c r="E35" i="13" s="1"/>
  <c r="F35" i="20" l="1"/>
  <c r="G189" i="2"/>
  <c r="L189" i="2"/>
  <c r="E62" i="38" l="1"/>
  <c r="L205" i="2" s="1"/>
  <c r="L207" i="2" s="1"/>
  <c r="F62" i="38" l="1"/>
  <c r="C64" i="38" s="1"/>
  <c r="L71" i="2" s="1"/>
  <c r="L63" i="2"/>
  <c r="L209" i="2"/>
  <c r="L163" i="2" l="1"/>
  <c r="J144" i="2"/>
  <c r="L144" i="2" s="1"/>
  <c r="J154" i="2"/>
  <c r="L154" i="2" s="1"/>
  <c r="J134" i="2"/>
  <c r="J72" i="2"/>
  <c r="L72" i="2" s="1"/>
  <c r="J143" i="2"/>
  <c r="L143" i="2" s="1"/>
  <c r="J213" i="2"/>
  <c r="L213" i="2" s="1"/>
  <c r="L217" i="2" s="1"/>
  <c r="L219" i="2" s="1"/>
  <c r="G75" i="20"/>
  <c r="H75" i="13"/>
  <c r="J69" i="2"/>
  <c r="J71" i="2"/>
  <c r="J73" i="2" l="1"/>
  <c r="L73" i="2" s="1"/>
  <c r="J104" i="2"/>
  <c r="L104" i="2" s="1"/>
  <c r="J102" i="2"/>
  <c r="L102" i="2" s="1"/>
  <c r="J65" i="2"/>
  <c r="L65" i="2" s="1"/>
  <c r="J161" i="2"/>
  <c r="L161" i="2" s="1"/>
  <c r="J146" i="2"/>
  <c r="L146" i="2" s="1"/>
  <c r="J75" i="2"/>
  <c r="L75" i="2" s="1"/>
  <c r="J141" i="2"/>
  <c r="L141" i="2" s="1"/>
  <c r="J67" i="2"/>
  <c r="L67" i="2" s="1"/>
  <c r="J97" i="2"/>
  <c r="L97" i="2" s="1"/>
  <c r="J66" i="2"/>
  <c r="L66" i="2" s="1"/>
  <c r="J74" i="2"/>
  <c r="L74" i="2" s="1"/>
  <c r="J156" i="2"/>
  <c r="L156" i="2" s="1"/>
  <c r="J155" i="2"/>
  <c r="L155" i="2" s="1"/>
  <c r="L157" i="2" s="1"/>
  <c r="J64" i="2"/>
  <c r="L64" i="2" s="1"/>
  <c r="J101" i="2"/>
  <c r="L101" i="2" s="1"/>
  <c r="L134" i="2"/>
  <c r="L100" i="2" s="1"/>
  <c r="H76" i="13"/>
  <c r="H77" i="13" s="1"/>
  <c r="H78" i="13" s="1"/>
  <c r="H79" i="13" s="1"/>
  <c r="G59" i="20"/>
  <c r="F59" i="13"/>
  <c r="G76" i="20"/>
  <c r="G77" i="20" s="1"/>
  <c r="G78" i="20" s="1"/>
  <c r="G79" i="20" s="1"/>
  <c r="L80" i="2" l="1"/>
  <c r="L76" i="2"/>
  <c r="L68" i="2"/>
  <c r="J68" i="2" s="1"/>
  <c r="L79" i="2"/>
  <c r="D96" i="13"/>
  <c r="J97" i="13" s="1"/>
  <c r="E100" i="13" s="1"/>
  <c r="F100" i="13" s="1"/>
  <c r="D792" i="13"/>
  <c r="J793" i="13" s="1"/>
  <c r="E796" i="13" s="1"/>
  <c r="F796" i="13" s="1"/>
  <c r="D270" i="13"/>
  <c r="J271" i="13" s="1"/>
  <c r="E274" i="13" s="1"/>
  <c r="F274" i="13" s="1"/>
  <c r="D966" i="13"/>
  <c r="J967" i="13" s="1"/>
  <c r="E970" i="13" s="1"/>
  <c r="F970" i="13" s="1"/>
  <c r="D618" i="13"/>
  <c r="J619" i="13" s="1"/>
  <c r="E622" i="13" s="1"/>
  <c r="F622" i="13" s="1"/>
  <c r="D444" i="13"/>
  <c r="J445" i="13" s="1"/>
  <c r="E448" i="13" s="1"/>
  <c r="F448" i="13" s="1"/>
  <c r="D879" i="13"/>
  <c r="J880" i="13" s="1"/>
  <c r="E883" i="13" s="1"/>
  <c r="F883" i="13" s="1"/>
  <c r="D705" i="13"/>
  <c r="J706" i="13" s="1"/>
  <c r="E709" i="13" s="1"/>
  <c r="F709" i="13" s="1"/>
  <c r="D357" i="13"/>
  <c r="J358" i="13" s="1"/>
  <c r="E361" i="13" s="1"/>
  <c r="F361" i="13" s="1"/>
  <c r="D531" i="13"/>
  <c r="J532" i="13" s="1"/>
  <c r="E535" i="13" s="1"/>
  <c r="F535" i="13" s="1"/>
  <c r="D183" i="13"/>
  <c r="J184" i="13" s="1"/>
  <c r="E187" i="13" s="1"/>
  <c r="F187" i="13" s="1"/>
  <c r="L81" i="2"/>
  <c r="D722" i="20"/>
  <c r="I723" i="20" s="1"/>
  <c r="E726" i="20" s="1"/>
  <c r="F726" i="20" s="1"/>
  <c r="D727" i="20" s="1"/>
  <c r="E727" i="20" s="1"/>
  <c r="F727" i="20" s="1"/>
  <c r="D728" i="20" s="1"/>
  <c r="E728" i="20" s="1"/>
  <c r="F728" i="20" s="1"/>
  <c r="D729" i="20" s="1"/>
  <c r="E729" i="20" s="1"/>
  <c r="F729" i="20" s="1"/>
  <c r="D730" i="20" s="1"/>
  <c r="E730" i="20" s="1"/>
  <c r="F730" i="20" s="1"/>
  <c r="D731" i="20" s="1"/>
  <c r="E731" i="20" s="1"/>
  <c r="F731" i="20" s="1"/>
  <c r="D732" i="20" s="1"/>
  <c r="E732" i="20" s="1"/>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E762" i="20" s="1"/>
  <c r="F762" i="20" s="1"/>
  <c r="D763" i="20" s="1"/>
  <c r="E763" i="20" s="1"/>
  <c r="F763" i="20" s="1"/>
  <c r="D764" i="20" s="1"/>
  <c r="E764" i="20" s="1"/>
  <c r="F764" i="20" s="1"/>
  <c r="D765" i="20" s="1"/>
  <c r="E765" i="20" s="1"/>
  <c r="F765" i="20" s="1"/>
  <c r="D766" i="20" s="1"/>
  <c r="E766" i="20" s="1"/>
  <c r="F766" i="20" s="1"/>
  <c r="D767" i="20" s="1"/>
  <c r="E767" i="20" s="1"/>
  <c r="F767" i="20" s="1"/>
  <c r="D768" i="20" s="1"/>
  <c r="E768" i="20" s="1"/>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D276" i="20"/>
  <c r="I277" i="20" s="1"/>
  <c r="E280" i="20" s="1"/>
  <c r="F280" i="20" s="1"/>
  <c r="D281" i="20" s="1"/>
  <c r="E281" i="20" s="1"/>
  <c r="F281" i="20" s="1"/>
  <c r="D282" i="20" s="1"/>
  <c r="E282" i="20" s="1"/>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E308" i="20" s="1"/>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336" i="20" s="1"/>
  <c r="F336" i="20" s="1"/>
  <c r="D337" i="20" s="1"/>
  <c r="E337" i="20" s="1"/>
  <c r="F337" i="20" s="1"/>
  <c r="D338" i="20" s="1"/>
  <c r="E338" i="20" s="1"/>
  <c r="F338" i="20" s="1"/>
  <c r="D339" i="20" s="1"/>
  <c r="D811" i="20"/>
  <c r="I812" i="20" s="1"/>
  <c r="E815" i="20" s="1"/>
  <c r="F815" i="20" s="1"/>
  <c r="D816" i="20" s="1"/>
  <c r="E816" i="20" s="1"/>
  <c r="F816" i="20" s="1"/>
  <c r="D817" i="20" s="1"/>
  <c r="E817" i="20" s="1"/>
  <c r="F817" i="20" s="1"/>
  <c r="D818" i="20" s="1"/>
  <c r="E818" i="20" s="1"/>
  <c r="F818" i="20" s="1"/>
  <c r="D819" i="20" s="1"/>
  <c r="E819" i="20" s="1"/>
  <c r="F819" i="20" s="1"/>
  <c r="D820" i="20" s="1"/>
  <c r="E820" i="20" s="1"/>
  <c r="F820" i="20" s="1"/>
  <c r="D821"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E846" i="20" s="1"/>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D97" i="20"/>
  <c r="I98" i="20" s="1"/>
  <c r="E101" i="20" s="1"/>
  <c r="F101" i="20" s="1"/>
  <c r="D102" i="20" s="1"/>
  <c r="E102" i="20" s="1"/>
  <c r="F102" i="20" s="1"/>
  <c r="D103"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D365" i="20"/>
  <c r="I366" i="20" s="1"/>
  <c r="E369" i="20" s="1"/>
  <c r="F369" i="20" s="1"/>
  <c r="D370" i="20" s="1"/>
  <c r="E370" i="20" s="1"/>
  <c r="F370" i="20" s="1"/>
  <c r="D371"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E392" i="20" s="1"/>
  <c r="F392" i="20" s="1"/>
  <c r="D393" i="20" s="1"/>
  <c r="E393" i="20" s="1"/>
  <c r="F393" i="20" s="1"/>
  <c r="D394" i="20" s="1"/>
  <c r="E394" i="20" s="1"/>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405" i="20" s="1"/>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414" i="20" s="1"/>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D633" i="20"/>
  <c r="I634" i="20" s="1"/>
  <c r="E637" i="20" s="1"/>
  <c r="F637" i="20" s="1"/>
  <c r="D638" i="20" s="1"/>
  <c r="E638" i="20" s="1"/>
  <c r="F638" i="20" s="1"/>
  <c r="D639" i="20" s="1"/>
  <c r="E639" i="20" s="1"/>
  <c r="F639" i="20" s="1"/>
  <c r="D640" i="20" s="1"/>
  <c r="E640" i="20" s="1"/>
  <c r="F640" i="20" s="1"/>
  <c r="D641" i="20" s="1"/>
  <c r="E641" i="20" s="1"/>
  <c r="F641" i="20" s="1"/>
  <c r="D642" i="20" s="1"/>
  <c r="E642" i="20" s="1"/>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E683" i="20" s="1"/>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D187" i="20"/>
  <c r="I188" i="20" s="1"/>
  <c r="E191" i="20" s="1"/>
  <c r="F191" i="20" s="1"/>
  <c r="D192" i="20" s="1"/>
  <c r="E192" i="20" s="1"/>
  <c r="F192" i="20" s="1"/>
  <c r="D193" i="20" s="1"/>
  <c r="E193" i="20" s="1"/>
  <c r="F193" i="20" s="1"/>
  <c r="D194" i="20" s="1"/>
  <c r="E194" i="20" s="1"/>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D544" i="20"/>
  <c r="I545" i="20" s="1"/>
  <c r="E548" i="20" s="1"/>
  <c r="F548" i="20" s="1"/>
  <c r="D549" i="20" s="1"/>
  <c r="E549" i="20" s="1"/>
  <c r="F549" i="20" s="1"/>
  <c r="D550" i="20" s="1"/>
  <c r="E550" i="20" s="1"/>
  <c r="F550" i="20" s="1"/>
  <c r="D551" i="20" s="1"/>
  <c r="E551" i="20" s="1"/>
  <c r="F551" i="20" s="1"/>
  <c r="D552" i="20" s="1"/>
  <c r="E552" i="20" s="1"/>
  <c r="F552" i="20" s="1"/>
  <c r="D553" i="20" s="1"/>
  <c r="E553" i="20" s="1"/>
  <c r="F553" i="20" s="1"/>
  <c r="D554" i="20" s="1"/>
  <c r="E554" i="20" s="1"/>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E577" i="20" s="1"/>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D455" i="20"/>
  <c r="I456" i="20" s="1"/>
  <c r="E459" i="20" s="1"/>
  <c r="F459" i="20" s="1"/>
  <c r="D460" i="20" s="1"/>
  <c r="E460" i="20" s="1"/>
  <c r="F460" i="20" s="1"/>
  <c r="D461" i="20" s="1"/>
  <c r="E461" i="20" s="1"/>
  <c r="F461" i="20" s="1"/>
  <c r="D462" i="20" s="1"/>
  <c r="E462" i="20" s="1"/>
  <c r="F462" i="20" s="1"/>
  <c r="D463" i="20" s="1"/>
  <c r="E463" i="20" s="1"/>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D902" i="20"/>
  <c r="I903" i="20" s="1"/>
  <c r="E906" i="20" s="1"/>
  <c r="F906" i="20" s="1"/>
  <c r="D907" i="20" s="1"/>
  <c r="E907" i="20" s="1"/>
  <c r="F907" i="20" s="1"/>
  <c r="D908" i="20" s="1"/>
  <c r="E908" i="20" s="1"/>
  <c r="F908" i="20" s="1"/>
  <c r="D909" i="20" s="1"/>
  <c r="E909" i="20" s="1"/>
  <c r="F909" i="20" s="1"/>
  <c r="D910" i="20" s="1"/>
  <c r="E910" i="20" s="1"/>
  <c r="F910" i="20" s="1"/>
  <c r="D911" i="20" s="1"/>
  <c r="E911" i="20" s="1"/>
  <c r="F911" i="20" s="1"/>
  <c r="D912" i="20" s="1"/>
  <c r="E912" i="20" s="1"/>
  <c r="F912" i="20" s="1"/>
  <c r="D913" i="20" s="1"/>
  <c r="E913" i="20" s="1"/>
  <c r="F913" i="20" s="1"/>
  <c r="D914" i="20" s="1"/>
  <c r="E914" i="20" s="1"/>
  <c r="F914" i="20" s="1"/>
  <c r="D915" i="20" s="1"/>
  <c r="E915" i="20" s="1"/>
  <c r="F915" i="20" s="1"/>
  <c r="D916" i="20" s="1"/>
  <c r="E916" i="20" s="1"/>
  <c r="F916" i="20" s="1"/>
  <c r="D917" i="20" s="1"/>
  <c r="E917" i="20" s="1"/>
  <c r="F917" i="20" s="1"/>
  <c r="D918" i="20" s="1"/>
  <c r="E918" i="20" s="1"/>
  <c r="F918" i="20" s="1"/>
  <c r="D919" i="20" s="1"/>
  <c r="E919" i="20" s="1"/>
  <c r="F919" i="20" s="1"/>
  <c r="D920" i="20" s="1"/>
  <c r="E920" i="20" s="1"/>
  <c r="F920" i="20" s="1"/>
  <c r="D921" i="20" s="1"/>
  <c r="E921" i="20" s="1"/>
  <c r="F921" i="20" s="1"/>
  <c r="D922" i="20" s="1"/>
  <c r="E922" i="20" s="1"/>
  <c r="F922" i="20" s="1"/>
  <c r="D923" i="20" s="1"/>
  <c r="E923" i="20" s="1"/>
  <c r="F923" i="20" s="1"/>
  <c r="D924" i="20" s="1"/>
  <c r="E924" i="20" s="1"/>
  <c r="F924" i="20" s="1"/>
  <c r="D925" i="20" s="1"/>
  <c r="E925" i="20" s="1"/>
  <c r="F925" i="20" s="1"/>
  <c r="D926" i="20" s="1"/>
  <c r="E926" i="20" s="1"/>
  <c r="F926" i="20" s="1"/>
  <c r="D927" i="20" s="1"/>
  <c r="E927" i="20" s="1"/>
  <c r="F927" i="20" s="1"/>
  <c r="D928" i="20" s="1"/>
  <c r="E928" i="20" s="1"/>
  <c r="F928" i="20" s="1"/>
  <c r="D929" i="20" s="1"/>
  <c r="E929" i="20" s="1"/>
  <c r="F929" i="20" s="1"/>
  <c r="D930" i="20" s="1"/>
  <c r="E930" i="20" s="1"/>
  <c r="F930" i="20" s="1"/>
  <c r="D931" i="20" s="1"/>
  <c r="E931" i="20" s="1"/>
  <c r="F931" i="20" s="1"/>
  <c r="D932" i="20" s="1"/>
  <c r="E932" i="20" s="1"/>
  <c r="F932" i="20" s="1"/>
  <c r="D933" i="20" s="1"/>
  <c r="E933" i="20" s="1"/>
  <c r="F933" i="20" s="1"/>
  <c r="D934" i="20" s="1"/>
  <c r="E934" i="20" s="1"/>
  <c r="F934" i="20" s="1"/>
  <c r="D935" i="20" s="1"/>
  <c r="E935" i="20" s="1"/>
  <c r="F935" i="20" s="1"/>
  <c r="D936" i="20" s="1"/>
  <c r="E936" i="20" s="1"/>
  <c r="F936" i="20" s="1"/>
  <c r="D937" i="20" s="1"/>
  <c r="E937" i="20" s="1"/>
  <c r="F937" i="20" s="1"/>
  <c r="D938" i="20" s="1"/>
  <c r="E938" i="20" s="1"/>
  <c r="F938" i="20" s="1"/>
  <c r="D939" i="20" s="1"/>
  <c r="E939" i="20" s="1"/>
  <c r="F939" i="20" s="1"/>
  <c r="D940" i="20" s="1"/>
  <c r="E940" i="20" s="1"/>
  <c r="F940" i="20" s="1"/>
  <c r="D941" i="20" s="1"/>
  <c r="E941" i="20" s="1"/>
  <c r="F941" i="20" s="1"/>
  <c r="D942" i="20" s="1"/>
  <c r="E942" i="20" s="1"/>
  <c r="F942" i="20" s="1"/>
  <c r="D943" i="20" s="1"/>
  <c r="E943" i="20" s="1"/>
  <c r="F943" i="20" s="1"/>
  <c r="D944" i="20" s="1"/>
  <c r="E944" i="20" s="1"/>
  <c r="F944" i="20" s="1"/>
  <c r="D945" i="20" s="1"/>
  <c r="E945" i="20" s="1"/>
  <c r="F945" i="20" s="1"/>
  <c r="D946" i="20" s="1"/>
  <c r="E946" i="20" s="1"/>
  <c r="F946" i="20" s="1"/>
  <c r="D947" i="20" s="1"/>
  <c r="E947" i="20" s="1"/>
  <c r="F947" i="20" s="1"/>
  <c r="D948" i="20" s="1"/>
  <c r="E948" i="20" s="1"/>
  <c r="F948" i="20" s="1"/>
  <c r="D949" i="20" s="1"/>
  <c r="E949" i="20" s="1"/>
  <c r="F949" i="20" s="1"/>
  <c r="D950" i="20" s="1"/>
  <c r="E950" i="20" s="1"/>
  <c r="F950" i="20" s="1"/>
  <c r="D951" i="20" s="1"/>
  <c r="E951" i="20" s="1"/>
  <c r="F951" i="20" s="1"/>
  <c r="D952" i="20" s="1"/>
  <c r="E952" i="20" s="1"/>
  <c r="F952" i="20" s="1"/>
  <c r="D953" i="20" s="1"/>
  <c r="E953" i="20" s="1"/>
  <c r="F953" i="20" s="1"/>
  <c r="D954" i="20" s="1"/>
  <c r="E954" i="20" s="1"/>
  <c r="F954" i="20" s="1"/>
  <c r="D955" i="20" s="1"/>
  <c r="E955" i="20" s="1"/>
  <c r="F955" i="20" s="1"/>
  <c r="D956" i="20" s="1"/>
  <c r="E956" i="20" s="1"/>
  <c r="F956" i="20" s="1"/>
  <c r="D957" i="20" s="1"/>
  <c r="E957" i="20" s="1"/>
  <c r="F957" i="20" s="1"/>
  <c r="D958" i="20" s="1"/>
  <c r="E958" i="20" s="1"/>
  <c r="F958" i="20" s="1"/>
  <c r="D959" i="20" s="1"/>
  <c r="E959" i="20" s="1"/>
  <c r="F959" i="20" s="1"/>
  <c r="D960" i="20" s="1"/>
  <c r="E960" i="20" s="1"/>
  <c r="F960" i="20" s="1"/>
  <c r="D961" i="20" s="1"/>
  <c r="E961" i="20" s="1"/>
  <c r="F961" i="20" s="1"/>
  <c r="D962" i="20" s="1"/>
  <c r="E962" i="20" s="1"/>
  <c r="F962" i="20" s="1"/>
  <c r="D963" i="20" s="1"/>
  <c r="E963" i="20" s="1"/>
  <c r="F963" i="20" s="1"/>
  <c r="D964" i="20" s="1"/>
  <c r="E964" i="20" s="1"/>
  <c r="F964" i="20" s="1"/>
  <c r="D965" i="20" s="1"/>
  <c r="E507" i="20" l="1"/>
  <c r="F507" i="20"/>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E785" i="20"/>
  <c r="E786" i="20" s="1"/>
  <c r="D449" i="13"/>
  <c r="G448" i="13"/>
  <c r="E607" i="20"/>
  <c r="E608" i="20" s="1"/>
  <c r="D623" i="13"/>
  <c r="G622" i="13"/>
  <c r="E250" i="20"/>
  <c r="E251" i="20" s="1"/>
  <c r="G970" i="13"/>
  <c r="D971" i="13"/>
  <c r="E696" i="20"/>
  <c r="E697" i="20" s="1"/>
  <c r="G187" i="13"/>
  <c r="D188" i="13"/>
  <c r="G274" i="13"/>
  <c r="D275" i="13"/>
  <c r="E428" i="20"/>
  <c r="E429" i="20" s="1"/>
  <c r="D536" i="13"/>
  <c r="G535" i="13"/>
  <c r="D797" i="13"/>
  <c r="G796" i="13"/>
  <c r="E160" i="20"/>
  <c r="E161" i="20" s="1"/>
  <c r="G361" i="13"/>
  <c r="D362" i="13"/>
  <c r="D101" i="13"/>
  <c r="G100" i="13"/>
  <c r="E874" i="20"/>
  <c r="E875" i="20" s="1"/>
  <c r="F874" i="20"/>
  <c r="D710" i="13"/>
  <c r="G709" i="13"/>
  <c r="F64" i="13"/>
  <c r="L82" i="2"/>
  <c r="J82" i="2" s="1"/>
  <c r="G64" i="20"/>
  <c r="E965" i="20"/>
  <c r="E966" i="20" s="1"/>
  <c r="E339" i="20"/>
  <c r="E340" i="20" s="1"/>
  <c r="F339" i="20"/>
  <c r="G883" i="13"/>
  <c r="D884" i="13"/>
  <c r="J142" i="2"/>
  <c r="L142" i="2" s="1"/>
  <c r="L147" i="2" s="1"/>
  <c r="L149" i="2" s="1"/>
  <c r="L151" i="2" s="1"/>
  <c r="J105" i="2"/>
  <c r="L105" i="2" s="1"/>
  <c r="J165" i="2"/>
  <c r="L165" i="2" s="1"/>
  <c r="L166" i="2" s="1"/>
  <c r="J103" i="2"/>
  <c r="L103" i="2" s="1"/>
  <c r="F785" i="20" l="1"/>
  <c r="F428" i="20"/>
  <c r="E884" i="13"/>
  <c r="F884" i="13" s="1"/>
  <c r="D885" i="13" s="1"/>
  <c r="G884" i="13"/>
  <c r="F696" i="20"/>
  <c r="F607" i="20"/>
  <c r="E101" i="13"/>
  <c r="F101" i="13" s="1"/>
  <c r="D102" i="13" s="1"/>
  <c r="E362" i="13"/>
  <c r="F362" i="13" s="1"/>
  <c r="D363" i="13" s="1"/>
  <c r="E971" i="13"/>
  <c r="F971" i="13"/>
  <c r="D972" i="13" s="1"/>
  <c r="G971" i="13"/>
  <c r="E449" i="13"/>
  <c r="F449" i="13" s="1"/>
  <c r="D450" i="13" s="1"/>
  <c r="G449" i="13"/>
  <c r="J175" i="2"/>
  <c r="L175" i="2" s="1"/>
  <c r="L179" i="2" s="1"/>
  <c r="J178" i="2"/>
  <c r="L178" i="2" s="1"/>
  <c r="J176" i="2"/>
  <c r="L176" i="2" s="1"/>
  <c r="L180" i="2" s="1"/>
  <c r="L108" i="2"/>
  <c r="F965" i="20"/>
  <c r="F160" i="20"/>
  <c r="E275" i="13"/>
  <c r="F275" i="13" s="1"/>
  <c r="D276" i="13" s="1"/>
  <c r="G275" i="13"/>
  <c r="F250" i="20"/>
  <c r="E710" i="13"/>
  <c r="F710" i="13" s="1"/>
  <c r="D711" i="13" s="1"/>
  <c r="E518" i="20"/>
  <c r="E519" i="20" s="1"/>
  <c r="E536" i="13"/>
  <c r="F536" i="13" s="1"/>
  <c r="D537" i="13" s="1"/>
  <c r="E188" i="13"/>
  <c r="F188" i="13" s="1"/>
  <c r="D189" i="13" s="1"/>
  <c r="G188" i="13"/>
  <c r="E797" i="13"/>
  <c r="F797" i="13" s="1"/>
  <c r="D798" i="13" s="1"/>
  <c r="E623" i="13"/>
  <c r="F623" i="13" s="1"/>
  <c r="D624" i="13" s="1"/>
  <c r="G797" i="13" l="1"/>
  <c r="F518" i="20"/>
  <c r="G362" i="13"/>
  <c r="G710" i="13"/>
  <c r="G101" i="13"/>
  <c r="E798" i="13"/>
  <c r="F798" i="13" s="1"/>
  <c r="D799" i="13" s="1"/>
  <c r="F39" i="20"/>
  <c r="E39" i="13"/>
  <c r="E363" i="13"/>
  <c r="F363" i="13" s="1"/>
  <c r="D364" i="13" s="1"/>
  <c r="E189" i="13"/>
  <c r="F189" i="13" s="1"/>
  <c r="D190" i="13" s="1"/>
  <c r="E537" i="13"/>
  <c r="F537" i="13" s="1"/>
  <c r="D538" i="13" s="1"/>
  <c r="E38" i="13"/>
  <c r="F38" i="20"/>
  <c r="E711" i="13"/>
  <c r="F711" i="13" s="1"/>
  <c r="D712" i="13" s="1"/>
  <c r="E450" i="13"/>
  <c r="F450" i="13" s="1"/>
  <c r="D451" i="13" s="1"/>
  <c r="G536" i="13"/>
  <c r="G623" i="13"/>
  <c r="E972" i="13"/>
  <c r="F972" i="13" s="1"/>
  <c r="D973" i="13" s="1"/>
  <c r="F37" i="20"/>
  <c r="E37" i="13"/>
  <c r="E102" i="13"/>
  <c r="F102" i="13" s="1"/>
  <c r="D103" i="13" s="1"/>
  <c r="E276" i="13"/>
  <c r="F276" i="13" s="1"/>
  <c r="D277" i="13" s="1"/>
  <c r="E624" i="13"/>
  <c r="F624" i="13" s="1"/>
  <c r="D625" i="13" s="1"/>
  <c r="E885" i="13"/>
  <c r="F885" i="13" s="1"/>
  <c r="D886" i="13" s="1"/>
  <c r="G798" i="13" l="1"/>
  <c r="G711" i="13"/>
  <c r="G102" i="13"/>
  <c r="G885" i="13"/>
  <c r="G972" i="13"/>
  <c r="G450" i="13"/>
  <c r="G363" i="13"/>
  <c r="G189" i="13"/>
  <c r="E886" i="13"/>
  <c r="F886" i="13" s="1"/>
  <c r="D887" i="13" s="1"/>
  <c r="E103" i="13"/>
  <c r="F103" i="13" s="1"/>
  <c r="D104" i="13" s="1"/>
  <c r="E625" i="13"/>
  <c r="F625" i="13" s="1"/>
  <c r="D626" i="13" s="1"/>
  <c r="G625" i="13"/>
  <c r="E451" i="13"/>
  <c r="F451" i="13" s="1"/>
  <c r="D452" i="13" s="1"/>
  <c r="E364" i="13"/>
  <c r="F364" i="13" s="1"/>
  <c r="D365" i="13" s="1"/>
  <c r="G364" i="13"/>
  <c r="G276" i="13"/>
  <c r="G537" i="13"/>
  <c r="E190" i="13"/>
  <c r="F190" i="13" s="1"/>
  <c r="D191" i="13" s="1"/>
  <c r="E712" i="13"/>
  <c r="F712" i="13" s="1"/>
  <c r="D713" i="13" s="1"/>
  <c r="G712" i="13"/>
  <c r="G624" i="13"/>
  <c r="E973" i="13"/>
  <c r="F973" i="13" s="1"/>
  <c r="D974" i="13" s="1"/>
  <c r="E277" i="13"/>
  <c r="F277" i="13" s="1"/>
  <c r="D278" i="13" s="1"/>
  <c r="E538" i="13"/>
  <c r="F538" i="13" s="1"/>
  <c r="D539" i="13" s="1"/>
  <c r="E799" i="13"/>
  <c r="F799" i="13" s="1"/>
  <c r="D800" i="13" s="1"/>
  <c r="G451" i="13" l="1"/>
  <c r="G973" i="13"/>
  <c r="G190" i="13"/>
  <c r="G277" i="13"/>
  <c r="G886" i="13"/>
  <c r="G538" i="13"/>
  <c r="E713" i="13"/>
  <c r="F713" i="13" s="1"/>
  <c r="D714" i="13" s="1"/>
  <c r="E104" i="13"/>
  <c r="F104" i="13" s="1"/>
  <c r="D105" i="13" s="1"/>
  <c r="E539" i="13"/>
  <c r="F539" i="13" s="1"/>
  <c r="D540" i="13" s="1"/>
  <c r="G539" i="13"/>
  <c r="E626" i="13"/>
  <c r="F626" i="13" s="1"/>
  <c r="D627" i="13" s="1"/>
  <c r="E974" i="13"/>
  <c r="F974" i="13" s="1"/>
  <c r="D975" i="13" s="1"/>
  <c r="G974" i="13"/>
  <c r="E800" i="13"/>
  <c r="F800" i="13" s="1"/>
  <c r="D801" i="13" s="1"/>
  <c r="E452" i="13"/>
  <c r="F452" i="13" s="1"/>
  <c r="D453" i="13" s="1"/>
  <c r="E191" i="13"/>
  <c r="F191" i="13" s="1"/>
  <c r="D192" i="13" s="1"/>
  <c r="E278" i="13"/>
  <c r="F278" i="13" s="1"/>
  <c r="D279" i="13" s="1"/>
  <c r="G103" i="13"/>
  <c r="G799" i="13"/>
  <c r="E365" i="13"/>
  <c r="F365" i="13" s="1"/>
  <c r="D366" i="13" s="1"/>
  <c r="G365" i="13"/>
  <c r="E887" i="13"/>
  <c r="F887" i="13" s="1"/>
  <c r="D888" i="13" s="1"/>
  <c r="G713" i="13" l="1"/>
  <c r="G800" i="13"/>
  <c r="G104" i="13"/>
  <c r="G452" i="13"/>
  <c r="G887" i="13"/>
  <c r="G191" i="13"/>
  <c r="G626" i="13"/>
  <c r="E627" i="13"/>
  <c r="F627" i="13" s="1"/>
  <c r="D628" i="13" s="1"/>
  <c r="E453" i="13"/>
  <c r="F453" i="13" s="1"/>
  <c r="D454" i="13" s="1"/>
  <c r="E105" i="13"/>
  <c r="F105" i="13" s="1"/>
  <c r="D106" i="13" s="1"/>
  <c r="E192" i="13"/>
  <c r="F192" i="13" s="1"/>
  <c r="D193" i="13" s="1"/>
  <c r="E540" i="13"/>
  <c r="F540" i="13" s="1"/>
  <c r="D541" i="13" s="1"/>
  <c r="E801" i="13"/>
  <c r="F801" i="13" s="1"/>
  <c r="D802" i="13" s="1"/>
  <c r="G278" i="13"/>
  <c r="E888" i="13"/>
  <c r="F888" i="13" s="1"/>
  <c r="D889" i="13" s="1"/>
  <c r="E366" i="13"/>
  <c r="F366" i="13" s="1"/>
  <c r="D367" i="13" s="1"/>
  <c r="E279" i="13"/>
  <c r="F279" i="13" s="1"/>
  <c r="D280" i="13" s="1"/>
  <c r="G279" i="13"/>
  <c r="E975" i="13"/>
  <c r="F975" i="13" s="1"/>
  <c r="D976" i="13" s="1"/>
  <c r="G975" i="13"/>
  <c r="E714" i="13"/>
  <c r="F714" i="13" s="1"/>
  <c r="D715" i="13" s="1"/>
  <c r="G192" i="13" l="1"/>
  <c r="G801" i="13"/>
  <c r="G627" i="13"/>
  <c r="G540" i="13"/>
  <c r="G453" i="13"/>
  <c r="G714" i="13"/>
  <c r="G888" i="13"/>
  <c r="E193" i="13"/>
  <c r="F193" i="13" s="1"/>
  <c r="D194" i="13" s="1"/>
  <c r="E715" i="13"/>
  <c r="F715" i="13" s="1"/>
  <c r="D716" i="13" s="1"/>
  <c r="E889" i="13"/>
  <c r="F889" i="13" s="1"/>
  <c r="D890" i="13" s="1"/>
  <c r="G105" i="13"/>
  <c r="E106" i="13"/>
  <c r="F106" i="13" s="1"/>
  <c r="D107" i="13" s="1"/>
  <c r="E367" i="13"/>
  <c r="F367" i="13" s="1"/>
  <c r="D368" i="13" s="1"/>
  <c r="G367" i="13"/>
  <c r="E976" i="13"/>
  <c r="F976" i="13" s="1"/>
  <c r="D977" i="13" s="1"/>
  <c r="E802" i="13"/>
  <c r="F802" i="13" s="1"/>
  <c r="D803" i="13" s="1"/>
  <c r="E454" i="13"/>
  <c r="F454" i="13" s="1"/>
  <c r="D455" i="13" s="1"/>
  <c r="E280" i="13"/>
  <c r="F280" i="13" s="1"/>
  <c r="D281" i="13" s="1"/>
  <c r="G280" i="13"/>
  <c r="G366" i="13"/>
  <c r="E541" i="13"/>
  <c r="F541" i="13" s="1"/>
  <c r="D542" i="13" s="1"/>
  <c r="E628" i="13"/>
  <c r="F628" i="13" s="1"/>
  <c r="D629" i="13" s="1"/>
  <c r="G193" i="13" l="1"/>
  <c r="G541" i="13"/>
  <c r="G976" i="13"/>
  <c r="G802" i="13"/>
  <c r="G889" i="13"/>
  <c r="G628" i="13"/>
  <c r="E455" i="13"/>
  <c r="F455" i="13" s="1"/>
  <c r="D456" i="13" s="1"/>
  <c r="E107" i="13"/>
  <c r="F107" i="13" s="1"/>
  <c r="D108" i="13" s="1"/>
  <c r="E629" i="13"/>
  <c r="F629" i="13" s="1"/>
  <c r="D630" i="13" s="1"/>
  <c r="E803" i="13"/>
  <c r="F803" i="13" s="1"/>
  <c r="D804" i="13" s="1"/>
  <c r="E542" i="13"/>
  <c r="F542" i="13" s="1"/>
  <c r="D543" i="13" s="1"/>
  <c r="E890" i="13"/>
  <c r="F890" i="13" s="1"/>
  <c r="D891" i="13" s="1"/>
  <c r="E977" i="13"/>
  <c r="F977" i="13" s="1"/>
  <c r="D978" i="13" s="1"/>
  <c r="E716" i="13"/>
  <c r="F716" i="13" s="1"/>
  <c r="D717" i="13" s="1"/>
  <c r="G715" i="13"/>
  <c r="E281" i="13"/>
  <c r="F281" i="13" s="1"/>
  <c r="D282" i="13" s="1"/>
  <c r="E368" i="13"/>
  <c r="F368" i="13" s="1"/>
  <c r="D369" i="13" s="1"/>
  <c r="G454" i="13"/>
  <c r="G106" i="13"/>
  <c r="E194" i="13"/>
  <c r="F194" i="13" s="1"/>
  <c r="D195" i="13" s="1"/>
  <c r="G281" i="13" l="1"/>
  <c r="G194" i="13"/>
  <c r="G368" i="13"/>
  <c r="G542" i="13"/>
  <c r="G455" i="13"/>
  <c r="E717" i="13"/>
  <c r="F717" i="13" s="1"/>
  <c r="D718" i="13" s="1"/>
  <c r="G717" i="13"/>
  <c r="E804" i="13"/>
  <c r="F804" i="13" s="1"/>
  <c r="D805" i="13" s="1"/>
  <c r="G977" i="13"/>
  <c r="G629" i="13"/>
  <c r="E978" i="13"/>
  <c r="F978" i="13" s="1"/>
  <c r="D979" i="13" s="1"/>
  <c r="E630" i="13"/>
  <c r="F630" i="13" s="1"/>
  <c r="D631" i="13" s="1"/>
  <c r="G630" i="13"/>
  <c r="E369" i="13"/>
  <c r="F369" i="13" s="1"/>
  <c r="D370" i="13" s="1"/>
  <c r="G890" i="13"/>
  <c r="G107" i="13"/>
  <c r="E891" i="13"/>
  <c r="F891" i="13" s="1"/>
  <c r="D892" i="13" s="1"/>
  <c r="E108" i="13"/>
  <c r="F108" i="13" s="1"/>
  <c r="D109" i="13" s="1"/>
  <c r="G108" i="13"/>
  <c r="E282" i="13"/>
  <c r="F282" i="13" s="1"/>
  <c r="D283" i="13" s="1"/>
  <c r="G282" i="13"/>
  <c r="E543" i="13"/>
  <c r="F543" i="13" s="1"/>
  <c r="D544" i="13" s="1"/>
  <c r="E456" i="13"/>
  <c r="F456" i="13" s="1"/>
  <c r="D457" i="13" s="1"/>
  <c r="E195" i="13"/>
  <c r="F195" i="13" s="1"/>
  <c r="D196" i="13" s="1"/>
  <c r="G716" i="13"/>
  <c r="G803" i="13"/>
  <c r="G804" i="13" l="1"/>
  <c r="G543" i="13"/>
  <c r="G369" i="13"/>
  <c r="G195" i="13"/>
  <c r="G456" i="13"/>
  <c r="G891" i="13"/>
  <c r="G978" i="13"/>
  <c r="E457" i="13"/>
  <c r="F457" i="13" s="1"/>
  <c r="D458" i="13" s="1"/>
  <c r="E892" i="13"/>
  <c r="F892" i="13" s="1"/>
  <c r="D893" i="13" s="1"/>
  <c r="E979" i="13"/>
  <c r="F979" i="13" s="1"/>
  <c r="D980" i="13" s="1"/>
  <c r="E544" i="13"/>
  <c r="F544" i="13" s="1"/>
  <c r="D545" i="13" s="1"/>
  <c r="G544" i="13"/>
  <c r="E283" i="13"/>
  <c r="F283" i="13" s="1"/>
  <c r="D284" i="13" s="1"/>
  <c r="E370" i="13"/>
  <c r="F370" i="13" s="1"/>
  <c r="D371" i="13" s="1"/>
  <c r="E805" i="13"/>
  <c r="F805" i="13" s="1"/>
  <c r="D806" i="13" s="1"/>
  <c r="E196" i="13"/>
  <c r="F196" i="13" s="1"/>
  <c r="D197" i="13" s="1"/>
  <c r="E109" i="13"/>
  <c r="F109" i="13" s="1"/>
  <c r="D110" i="13" s="1"/>
  <c r="E631" i="13"/>
  <c r="F631" i="13" s="1"/>
  <c r="D632" i="13" s="1"/>
  <c r="G631" i="13"/>
  <c r="E718" i="13"/>
  <c r="F718" i="13" s="1"/>
  <c r="D719" i="13" s="1"/>
  <c r="G370" i="13" l="1"/>
  <c r="G457" i="13"/>
  <c r="G892" i="13"/>
  <c r="G283" i="13"/>
  <c r="E980" i="13"/>
  <c r="F980" i="13" s="1"/>
  <c r="D981" i="13" s="1"/>
  <c r="E632" i="13"/>
  <c r="F632" i="13" s="1"/>
  <c r="D633" i="13" s="1"/>
  <c r="E371" i="13"/>
  <c r="F371" i="13" s="1"/>
  <c r="D372" i="13" s="1"/>
  <c r="E893" i="13"/>
  <c r="F893" i="13" s="1"/>
  <c r="D894" i="13" s="1"/>
  <c r="E806" i="13"/>
  <c r="F806" i="13" s="1"/>
  <c r="D807" i="13" s="1"/>
  <c r="E110" i="13"/>
  <c r="F110" i="13" s="1"/>
  <c r="D111" i="13" s="1"/>
  <c r="G110" i="13"/>
  <c r="G109" i="13"/>
  <c r="E284" i="13"/>
  <c r="F284" i="13" s="1"/>
  <c r="D285" i="13" s="1"/>
  <c r="E458" i="13"/>
  <c r="F458" i="13" s="1"/>
  <c r="D459" i="13" s="1"/>
  <c r="E197" i="13"/>
  <c r="F197" i="13" s="1"/>
  <c r="D198" i="13" s="1"/>
  <c r="G196" i="13"/>
  <c r="E545" i="13"/>
  <c r="F545" i="13" s="1"/>
  <c r="D546" i="13" s="1"/>
  <c r="E719" i="13"/>
  <c r="F719" i="13" s="1"/>
  <c r="D720" i="13" s="1"/>
  <c r="G718" i="13"/>
  <c r="G805" i="13"/>
  <c r="G979" i="13"/>
  <c r="G980" i="13" l="1"/>
  <c r="G197" i="13"/>
  <c r="G284" i="13"/>
  <c r="G632" i="13"/>
  <c r="G719" i="13"/>
  <c r="E459" i="13"/>
  <c r="F459" i="13" s="1"/>
  <c r="D460" i="13" s="1"/>
  <c r="G459" i="13"/>
  <c r="G893" i="13"/>
  <c r="E720" i="13"/>
  <c r="F720" i="13" s="1"/>
  <c r="D721" i="13" s="1"/>
  <c r="E894" i="13"/>
  <c r="F894" i="13" s="1"/>
  <c r="D895" i="13" s="1"/>
  <c r="G545" i="13"/>
  <c r="E285" i="13"/>
  <c r="F285" i="13" s="1"/>
  <c r="D286" i="13" s="1"/>
  <c r="G285" i="13"/>
  <c r="G371" i="13"/>
  <c r="E546" i="13"/>
  <c r="F546" i="13" s="1"/>
  <c r="D547" i="13" s="1"/>
  <c r="E372" i="13"/>
  <c r="F372" i="13" s="1"/>
  <c r="D373" i="13" s="1"/>
  <c r="E111" i="13"/>
  <c r="F111" i="13" s="1"/>
  <c r="D112" i="13" s="1"/>
  <c r="E633" i="13"/>
  <c r="F633" i="13" s="1"/>
  <c r="D634" i="13" s="1"/>
  <c r="E198" i="13"/>
  <c r="F198" i="13" s="1"/>
  <c r="D199" i="13" s="1"/>
  <c r="G806" i="13"/>
  <c r="G458" i="13"/>
  <c r="E807" i="13"/>
  <c r="F807" i="13" s="1"/>
  <c r="D808" i="13" s="1"/>
  <c r="E981" i="13"/>
  <c r="F981" i="13" s="1"/>
  <c r="D982" i="13" s="1"/>
  <c r="G720" i="13" l="1"/>
  <c r="G807" i="13"/>
  <c r="G546" i="13"/>
  <c r="G198" i="13"/>
  <c r="G981" i="13"/>
  <c r="G633" i="13"/>
  <c r="G111" i="13"/>
  <c r="G372" i="13"/>
  <c r="G894" i="13"/>
  <c r="E373" i="13"/>
  <c r="F373" i="13" s="1"/>
  <c r="D374" i="13" s="1"/>
  <c r="G373" i="13"/>
  <c r="E895" i="13"/>
  <c r="F895" i="13" s="1"/>
  <c r="D896" i="13" s="1"/>
  <c r="E199" i="13"/>
  <c r="F199" i="13" s="1"/>
  <c r="D200" i="13" s="1"/>
  <c r="E547" i="13"/>
  <c r="F547" i="13" s="1"/>
  <c r="D548" i="13" s="1"/>
  <c r="E721" i="13"/>
  <c r="F721" i="13" s="1"/>
  <c r="D722" i="13" s="1"/>
  <c r="E982" i="13"/>
  <c r="F982" i="13" s="1"/>
  <c r="D983" i="13" s="1"/>
  <c r="E634" i="13"/>
  <c r="F634" i="13" s="1"/>
  <c r="D635" i="13" s="1"/>
  <c r="E286" i="13"/>
  <c r="F286" i="13" s="1"/>
  <c r="D287" i="13" s="1"/>
  <c r="E460" i="13"/>
  <c r="F460" i="13" s="1"/>
  <c r="D461" i="13" s="1"/>
  <c r="E808" i="13"/>
  <c r="F808" i="13" s="1"/>
  <c r="D809" i="13" s="1"/>
  <c r="E112" i="13"/>
  <c r="F112" i="13" s="1"/>
  <c r="D113" i="13" s="1"/>
  <c r="G895" i="13" l="1"/>
  <c r="G982" i="13"/>
  <c r="G460" i="13"/>
  <c r="G547" i="13"/>
  <c r="G808" i="13"/>
  <c r="G721" i="13"/>
  <c r="G286" i="13"/>
  <c r="G112" i="13"/>
  <c r="G634" i="13"/>
  <c r="G199" i="13"/>
  <c r="E113" i="13"/>
  <c r="F113" i="13" s="1"/>
  <c r="D114" i="13" s="1"/>
  <c r="E635" i="13"/>
  <c r="F635" i="13" s="1"/>
  <c r="D636" i="13" s="1"/>
  <c r="E200" i="13"/>
  <c r="F200" i="13" s="1"/>
  <c r="D201" i="13" s="1"/>
  <c r="E809" i="13"/>
  <c r="F809" i="13" s="1"/>
  <c r="D810" i="13" s="1"/>
  <c r="G809" i="13"/>
  <c r="E983" i="13"/>
  <c r="F983" i="13" s="1"/>
  <c r="D984" i="13" s="1"/>
  <c r="E896" i="13"/>
  <c r="F896" i="13" s="1"/>
  <c r="D897" i="13" s="1"/>
  <c r="E461" i="13"/>
  <c r="F461" i="13" s="1"/>
  <c r="D462" i="13" s="1"/>
  <c r="E722" i="13"/>
  <c r="F722" i="13" s="1"/>
  <c r="D723" i="13" s="1"/>
  <c r="G722" i="13"/>
  <c r="E374" i="13"/>
  <c r="F374" i="13" s="1"/>
  <c r="D375" i="13" s="1"/>
  <c r="E287" i="13"/>
  <c r="F287" i="13" s="1"/>
  <c r="D288" i="13" s="1"/>
  <c r="E548" i="13"/>
  <c r="F548" i="13" s="1"/>
  <c r="D549" i="13" s="1"/>
  <c r="G374" i="13" l="1"/>
  <c r="G983" i="13"/>
  <c r="G896" i="13"/>
  <c r="G635" i="13"/>
  <c r="G287" i="13"/>
  <c r="G113" i="13"/>
  <c r="E549" i="13"/>
  <c r="F549" i="13" s="1"/>
  <c r="D550" i="13" s="1"/>
  <c r="E462" i="13"/>
  <c r="F462" i="13" s="1"/>
  <c r="D463" i="13" s="1"/>
  <c r="E201" i="13"/>
  <c r="F201" i="13" s="1"/>
  <c r="D202" i="13" s="1"/>
  <c r="E288" i="13"/>
  <c r="F288" i="13" s="1"/>
  <c r="D289" i="13" s="1"/>
  <c r="E897" i="13"/>
  <c r="F897" i="13" s="1"/>
  <c r="D898" i="13" s="1"/>
  <c r="G897" i="13"/>
  <c r="E636" i="13"/>
  <c r="F636" i="13" s="1"/>
  <c r="D637" i="13" s="1"/>
  <c r="E375" i="13"/>
  <c r="F375" i="13" s="1"/>
  <c r="D376" i="13" s="1"/>
  <c r="E984" i="13"/>
  <c r="F984" i="13" s="1"/>
  <c r="D985" i="13" s="1"/>
  <c r="E114" i="13"/>
  <c r="F114" i="13" s="1"/>
  <c r="D115" i="13" s="1"/>
  <c r="E723" i="13"/>
  <c r="F723" i="13" s="1"/>
  <c r="D724" i="13" s="1"/>
  <c r="E810" i="13"/>
  <c r="F810" i="13" s="1"/>
  <c r="D811" i="13" s="1"/>
  <c r="G548" i="13"/>
  <c r="G461" i="13"/>
  <c r="G200" i="13"/>
  <c r="G723" i="13" l="1"/>
  <c r="G114" i="13"/>
  <c r="G810" i="13"/>
  <c r="G636" i="13"/>
  <c r="G549" i="13"/>
  <c r="G462" i="13"/>
  <c r="G375" i="13"/>
  <c r="G201" i="13"/>
  <c r="G984" i="13"/>
  <c r="G288" i="13"/>
  <c r="E985" i="13"/>
  <c r="F985" i="13" s="1"/>
  <c r="D986" i="13" s="1"/>
  <c r="G985" i="13"/>
  <c r="E289" i="13"/>
  <c r="F289" i="13" s="1"/>
  <c r="D290" i="13" s="1"/>
  <c r="E811" i="13"/>
  <c r="F811" i="13" s="1"/>
  <c r="D812" i="13" s="1"/>
  <c r="G811" i="13"/>
  <c r="E376" i="13"/>
  <c r="F376" i="13" s="1"/>
  <c r="D377" i="13" s="1"/>
  <c r="E202" i="13"/>
  <c r="F202" i="13" s="1"/>
  <c r="D203" i="13" s="1"/>
  <c r="E724" i="13"/>
  <c r="F724" i="13" s="1"/>
  <c r="D725" i="13" s="1"/>
  <c r="E637" i="13"/>
  <c r="F637" i="13" s="1"/>
  <c r="D638" i="13" s="1"/>
  <c r="G637" i="13"/>
  <c r="E463" i="13"/>
  <c r="F463" i="13" s="1"/>
  <c r="D464" i="13" s="1"/>
  <c r="E115" i="13"/>
  <c r="F115" i="13" s="1"/>
  <c r="D116" i="13" s="1"/>
  <c r="G115" i="13"/>
  <c r="E898" i="13"/>
  <c r="F898" i="13" s="1"/>
  <c r="D899" i="13" s="1"/>
  <c r="E550" i="13"/>
  <c r="F550" i="13" s="1"/>
  <c r="D551" i="13" s="1"/>
  <c r="G463" i="13" l="1"/>
  <c r="G376" i="13"/>
  <c r="G550" i="13"/>
  <c r="G202" i="13"/>
  <c r="G898" i="13"/>
  <c r="G724" i="13"/>
  <c r="G289" i="13"/>
  <c r="E551" i="13"/>
  <c r="F551" i="13" s="1"/>
  <c r="D552" i="13" s="1"/>
  <c r="E638" i="13"/>
  <c r="F638" i="13" s="1"/>
  <c r="D639" i="13" s="1"/>
  <c r="E812" i="13"/>
  <c r="F812" i="13" s="1"/>
  <c r="D813" i="13" s="1"/>
  <c r="E899" i="13"/>
  <c r="F899" i="13" s="1"/>
  <c r="D900" i="13" s="1"/>
  <c r="G899" i="13"/>
  <c r="E725" i="13"/>
  <c r="F725" i="13" s="1"/>
  <c r="D726" i="13" s="1"/>
  <c r="G725" i="13"/>
  <c r="E290" i="13"/>
  <c r="F290" i="13" s="1"/>
  <c r="D291" i="13" s="1"/>
  <c r="E116" i="13"/>
  <c r="F116" i="13" s="1"/>
  <c r="D117" i="13" s="1"/>
  <c r="E203" i="13"/>
  <c r="F203" i="13" s="1"/>
  <c r="D204" i="13" s="1"/>
  <c r="E986" i="13"/>
  <c r="F986" i="13" s="1"/>
  <c r="E464" i="13"/>
  <c r="F464" i="13" s="1"/>
  <c r="D465" i="13" s="1"/>
  <c r="G464" i="13"/>
  <c r="E377" i="13"/>
  <c r="F377" i="13" s="1"/>
  <c r="D378" i="13" s="1"/>
  <c r="G290" i="13" l="1"/>
  <c r="G551" i="13"/>
  <c r="G203" i="13"/>
  <c r="G116" i="13"/>
  <c r="G812" i="13"/>
  <c r="D987" i="13"/>
  <c r="G986" i="13"/>
  <c r="G377" i="13"/>
  <c r="E204" i="13"/>
  <c r="F204" i="13" s="1"/>
  <c r="D205" i="13" s="1"/>
  <c r="E900" i="13"/>
  <c r="F900" i="13" s="1"/>
  <c r="D901" i="13" s="1"/>
  <c r="E378" i="13"/>
  <c r="F378" i="13" s="1"/>
  <c r="D379" i="13" s="1"/>
  <c r="E117" i="13"/>
  <c r="F117" i="13" s="1"/>
  <c r="D118" i="13" s="1"/>
  <c r="G117" i="13"/>
  <c r="E813" i="13"/>
  <c r="F813" i="13" s="1"/>
  <c r="D814" i="13" s="1"/>
  <c r="G813" i="13"/>
  <c r="E465" i="13"/>
  <c r="F465" i="13" s="1"/>
  <c r="D466" i="13" s="1"/>
  <c r="E639" i="13"/>
  <c r="F639" i="13" s="1"/>
  <c r="D640" i="13" s="1"/>
  <c r="E291" i="13"/>
  <c r="F291" i="13" s="1"/>
  <c r="D292" i="13" s="1"/>
  <c r="G638" i="13"/>
  <c r="E726" i="13"/>
  <c r="F726" i="13" s="1"/>
  <c r="D727" i="13" s="1"/>
  <c r="E552" i="13"/>
  <c r="F552" i="13" s="1"/>
  <c r="D553" i="13" s="1"/>
  <c r="G726" i="13" l="1"/>
  <c r="G204" i="13"/>
  <c r="G291" i="13"/>
  <c r="G465" i="13"/>
  <c r="G900" i="13"/>
  <c r="G552" i="13"/>
  <c r="E640" i="13"/>
  <c r="F640" i="13" s="1"/>
  <c r="D641" i="13" s="1"/>
  <c r="E379" i="13"/>
  <c r="F379" i="13" s="1"/>
  <c r="D380" i="13" s="1"/>
  <c r="E553" i="13"/>
  <c r="F553" i="13" s="1"/>
  <c r="D554" i="13" s="1"/>
  <c r="E466" i="13"/>
  <c r="F466" i="13" s="1"/>
  <c r="D467" i="13" s="1"/>
  <c r="E901" i="13"/>
  <c r="F901" i="13" s="1"/>
  <c r="D902" i="13" s="1"/>
  <c r="E727" i="13"/>
  <c r="F727" i="13" s="1"/>
  <c r="D728" i="13" s="1"/>
  <c r="E814" i="13"/>
  <c r="F814" i="13" s="1"/>
  <c r="D815" i="13" s="1"/>
  <c r="E205" i="13"/>
  <c r="F205" i="13" s="1"/>
  <c r="D206" i="13" s="1"/>
  <c r="E292" i="13"/>
  <c r="F292" i="13" s="1"/>
  <c r="D293" i="13" s="1"/>
  <c r="E118" i="13"/>
  <c r="F118" i="13" s="1"/>
  <c r="D119" i="13" s="1"/>
  <c r="G639" i="13"/>
  <c r="G378" i="13"/>
  <c r="E987" i="13"/>
  <c r="F987" i="13" s="1"/>
  <c r="D988" i="13" s="1"/>
  <c r="G727" i="13" l="1"/>
  <c r="G292" i="13"/>
  <c r="G640" i="13"/>
  <c r="G379" i="13"/>
  <c r="G814" i="13"/>
  <c r="G901" i="13"/>
  <c r="G553" i="13"/>
  <c r="E988" i="13"/>
  <c r="F988" i="13" s="1"/>
  <c r="D989" i="13" s="1"/>
  <c r="E206" i="13"/>
  <c r="F206" i="13" s="1"/>
  <c r="D207" i="13" s="1"/>
  <c r="E467" i="13"/>
  <c r="F467" i="13" s="1"/>
  <c r="D468" i="13" s="1"/>
  <c r="E815" i="13"/>
  <c r="F815" i="13" s="1"/>
  <c r="D816" i="13" s="1"/>
  <c r="E554" i="13"/>
  <c r="F554" i="13" s="1"/>
  <c r="D555" i="13" s="1"/>
  <c r="G554" i="13"/>
  <c r="G118" i="13"/>
  <c r="E119" i="13"/>
  <c r="F119" i="13" s="1"/>
  <c r="D120" i="13" s="1"/>
  <c r="E728" i="13"/>
  <c r="F728" i="13" s="1"/>
  <c r="D729" i="13" s="1"/>
  <c r="E380" i="13"/>
  <c r="F380" i="13" s="1"/>
  <c r="D381" i="13" s="1"/>
  <c r="E293" i="13"/>
  <c r="F293" i="13" s="1"/>
  <c r="D294" i="13" s="1"/>
  <c r="G293" i="13"/>
  <c r="E902" i="13"/>
  <c r="F902" i="13" s="1"/>
  <c r="D903" i="13" s="1"/>
  <c r="E641" i="13"/>
  <c r="F641" i="13" s="1"/>
  <c r="D642" i="13" s="1"/>
  <c r="G987" i="13"/>
  <c r="G205" i="13"/>
  <c r="G466" i="13"/>
  <c r="G119" i="13" l="1"/>
  <c r="G641" i="13"/>
  <c r="G988" i="13"/>
  <c r="G206" i="13"/>
  <c r="G728" i="13"/>
  <c r="G467" i="13"/>
  <c r="E381" i="13"/>
  <c r="F381" i="13" s="1"/>
  <c r="D382" i="13" s="1"/>
  <c r="G815" i="13"/>
  <c r="E816" i="13"/>
  <c r="F816" i="13" s="1"/>
  <c r="D817" i="13" s="1"/>
  <c r="E642" i="13"/>
  <c r="F642" i="13" s="1"/>
  <c r="D643" i="13" s="1"/>
  <c r="E729" i="13"/>
  <c r="F729" i="13" s="1"/>
  <c r="D730" i="13" s="1"/>
  <c r="E903" i="13"/>
  <c r="F903" i="13" s="1"/>
  <c r="D904" i="13" s="1"/>
  <c r="E468" i="13"/>
  <c r="F468" i="13" s="1"/>
  <c r="D469" i="13" s="1"/>
  <c r="G902" i="13"/>
  <c r="E120" i="13"/>
  <c r="F120" i="13" s="1"/>
  <c r="D121" i="13" s="1"/>
  <c r="E207" i="13"/>
  <c r="F207" i="13" s="1"/>
  <c r="D208" i="13" s="1"/>
  <c r="E294" i="13"/>
  <c r="F294" i="13" s="1"/>
  <c r="D295" i="13" s="1"/>
  <c r="G380" i="13"/>
  <c r="E555" i="13"/>
  <c r="F555" i="13" s="1"/>
  <c r="D556" i="13" s="1"/>
  <c r="E989" i="13"/>
  <c r="F989" i="13" s="1"/>
  <c r="D990" i="13" s="1"/>
  <c r="G294" i="13" l="1"/>
  <c r="G816" i="13"/>
  <c r="G468" i="13"/>
  <c r="G381" i="13"/>
  <c r="G207" i="13"/>
  <c r="G642" i="13"/>
  <c r="E990" i="13"/>
  <c r="F990" i="13" s="1"/>
  <c r="D991" i="13" s="1"/>
  <c r="G120" i="13"/>
  <c r="E730" i="13"/>
  <c r="F730" i="13" s="1"/>
  <c r="D731" i="13" s="1"/>
  <c r="E556" i="13"/>
  <c r="F556" i="13" s="1"/>
  <c r="D557" i="13" s="1"/>
  <c r="E121" i="13"/>
  <c r="F121" i="13" s="1"/>
  <c r="D122" i="13" s="1"/>
  <c r="G555" i="13"/>
  <c r="E643" i="13"/>
  <c r="F643" i="13" s="1"/>
  <c r="D644" i="13" s="1"/>
  <c r="E469" i="13"/>
  <c r="F469" i="13" s="1"/>
  <c r="D470" i="13" s="1"/>
  <c r="E817" i="13"/>
  <c r="F817" i="13" s="1"/>
  <c r="D818" i="13" s="1"/>
  <c r="E295" i="13"/>
  <c r="F295" i="13" s="1"/>
  <c r="D296" i="13" s="1"/>
  <c r="G903" i="13"/>
  <c r="E904" i="13"/>
  <c r="F904" i="13" s="1"/>
  <c r="D905" i="13" s="1"/>
  <c r="G989" i="13"/>
  <c r="E208" i="13"/>
  <c r="F208" i="13" s="1"/>
  <c r="D209" i="13" s="1"/>
  <c r="G729" i="13"/>
  <c r="E382" i="13"/>
  <c r="F382" i="13" s="1"/>
  <c r="D383" i="13" s="1"/>
  <c r="G904" i="13" l="1"/>
  <c r="G990" i="13"/>
  <c r="G382" i="13"/>
  <c r="G295" i="13"/>
  <c r="G469" i="13"/>
  <c r="G730" i="13"/>
  <c r="G208" i="13"/>
  <c r="G817" i="13"/>
  <c r="G643" i="13"/>
  <c r="E209" i="13"/>
  <c r="F209" i="13" s="1"/>
  <c r="D210" i="13" s="1"/>
  <c r="E818" i="13"/>
  <c r="F818" i="13" s="1"/>
  <c r="D819" i="13" s="1"/>
  <c r="G556" i="13"/>
  <c r="E470" i="13"/>
  <c r="F470" i="13" s="1"/>
  <c r="D471" i="13" s="1"/>
  <c r="E557" i="13"/>
  <c r="F557" i="13" s="1"/>
  <c r="D558" i="13" s="1"/>
  <c r="E905" i="13"/>
  <c r="F905" i="13" s="1"/>
  <c r="D906" i="13" s="1"/>
  <c r="E731" i="13"/>
  <c r="F731" i="13" s="1"/>
  <c r="D732" i="13" s="1"/>
  <c r="E644" i="13"/>
  <c r="F644" i="13" s="1"/>
  <c r="D645" i="13" s="1"/>
  <c r="E383" i="13"/>
  <c r="F383" i="13" s="1"/>
  <c r="D384" i="13" s="1"/>
  <c r="E122" i="13"/>
  <c r="F122" i="13" s="1"/>
  <c r="D123" i="13" s="1"/>
  <c r="G122" i="13"/>
  <c r="E296" i="13"/>
  <c r="F296" i="13" s="1"/>
  <c r="D297" i="13" s="1"/>
  <c r="G121" i="13"/>
  <c r="E991" i="13"/>
  <c r="F991" i="13" s="1"/>
  <c r="D992" i="13" s="1"/>
  <c r="G296" i="13" l="1"/>
  <c r="G905" i="13"/>
  <c r="G731" i="13"/>
  <c r="G209" i="13"/>
  <c r="G991" i="13"/>
  <c r="G818" i="13"/>
  <c r="E384" i="13"/>
  <c r="F384" i="13" s="1"/>
  <c r="D385" i="13" s="1"/>
  <c r="E558" i="13"/>
  <c r="F558" i="13" s="1"/>
  <c r="D559" i="13" s="1"/>
  <c r="E992" i="13"/>
  <c r="F992" i="13" s="1"/>
  <c r="D993" i="13" s="1"/>
  <c r="G644" i="13"/>
  <c r="G470" i="13"/>
  <c r="E471" i="13"/>
  <c r="F471" i="13" s="1"/>
  <c r="D472" i="13" s="1"/>
  <c r="G471" i="13"/>
  <c r="E297" i="13"/>
  <c r="F297" i="13" s="1"/>
  <c r="D298" i="13" s="1"/>
  <c r="E732" i="13"/>
  <c r="F732" i="13" s="1"/>
  <c r="D733" i="13" s="1"/>
  <c r="E645" i="13"/>
  <c r="F645" i="13" s="1"/>
  <c r="D646" i="13" s="1"/>
  <c r="E819" i="13"/>
  <c r="F819" i="13" s="1"/>
  <c r="D820" i="13" s="1"/>
  <c r="E123" i="13"/>
  <c r="F123" i="13" s="1"/>
  <c r="D124" i="13" s="1"/>
  <c r="G123" i="13"/>
  <c r="E906" i="13"/>
  <c r="F906" i="13" s="1"/>
  <c r="D907" i="13" s="1"/>
  <c r="G383" i="13"/>
  <c r="G557" i="13"/>
  <c r="E210" i="13"/>
  <c r="F210" i="13" s="1"/>
  <c r="D211" i="13" s="1"/>
  <c r="G384" i="13" l="1"/>
  <c r="G906" i="13"/>
  <c r="G297" i="13"/>
  <c r="G558" i="13"/>
  <c r="G732" i="13"/>
  <c r="G992" i="13"/>
  <c r="G210" i="13"/>
  <c r="G819" i="13"/>
  <c r="G645" i="13"/>
  <c r="E646" i="13"/>
  <c r="F646" i="13" s="1"/>
  <c r="D647" i="13" s="1"/>
  <c r="G646" i="13"/>
  <c r="E907" i="13"/>
  <c r="F907" i="13" s="1"/>
  <c r="D908" i="13" s="1"/>
  <c r="G907" i="13"/>
  <c r="E733" i="13"/>
  <c r="F733" i="13" s="1"/>
  <c r="D734" i="13" s="1"/>
  <c r="E993" i="13"/>
  <c r="F993" i="13" s="1"/>
  <c r="D994" i="13" s="1"/>
  <c r="E124" i="13"/>
  <c r="F124" i="13" s="1"/>
  <c r="D125" i="13" s="1"/>
  <c r="E298" i="13"/>
  <c r="F298" i="13" s="1"/>
  <c r="D299" i="13" s="1"/>
  <c r="E559" i="13"/>
  <c r="F559" i="13" s="1"/>
  <c r="D560" i="13" s="1"/>
  <c r="E211" i="13"/>
  <c r="F211" i="13" s="1"/>
  <c r="D212" i="13" s="1"/>
  <c r="E820" i="13"/>
  <c r="F820" i="13" s="1"/>
  <c r="D821" i="13" s="1"/>
  <c r="G820" i="13"/>
  <c r="E472" i="13"/>
  <c r="F472" i="13" s="1"/>
  <c r="D473" i="13" s="1"/>
  <c r="E385" i="13"/>
  <c r="F385" i="13" s="1"/>
  <c r="D386" i="13" s="1"/>
  <c r="G385" i="13"/>
  <c r="G298" i="13" l="1"/>
  <c r="G472" i="13"/>
  <c r="G124" i="13"/>
  <c r="G559" i="13"/>
  <c r="G733" i="13"/>
  <c r="E212" i="13"/>
  <c r="F212" i="13" s="1"/>
  <c r="D213" i="13" s="1"/>
  <c r="G212" i="13"/>
  <c r="E994" i="13"/>
  <c r="F994" i="13" s="1"/>
  <c r="D995" i="13" s="1"/>
  <c r="E386" i="13"/>
  <c r="F386" i="13" s="1"/>
  <c r="D387" i="13" s="1"/>
  <c r="E560" i="13"/>
  <c r="F560" i="13" s="1"/>
  <c r="D561" i="13" s="1"/>
  <c r="E734" i="13"/>
  <c r="F734" i="13" s="1"/>
  <c r="D735" i="13" s="1"/>
  <c r="G734" i="13"/>
  <c r="E473" i="13"/>
  <c r="F473" i="13" s="1"/>
  <c r="D474" i="13" s="1"/>
  <c r="G473" i="13"/>
  <c r="E299" i="13"/>
  <c r="F299" i="13" s="1"/>
  <c r="D300" i="13" s="1"/>
  <c r="E908" i="13"/>
  <c r="F908" i="13" s="1"/>
  <c r="D909" i="13" s="1"/>
  <c r="E821" i="13"/>
  <c r="F821" i="13" s="1"/>
  <c r="D822" i="13" s="1"/>
  <c r="G821" i="13"/>
  <c r="E125" i="13"/>
  <c r="F125" i="13" s="1"/>
  <c r="D126" i="13" s="1"/>
  <c r="E647" i="13"/>
  <c r="F647" i="13" s="1"/>
  <c r="D648" i="13" s="1"/>
  <c r="G211" i="13"/>
  <c r="G993" i="13"/>
  <c r="G994" i="13" l="1"/>
  <c r="G647" i="13"/>
  <c r="G125" i="13"/>
  <c r="G299" i="13"/>
  <c r="G386" i="13"/>
  <c r="G560" i="13"/>
  <c r="G908" i="13"/>
  <c r="E561" i="13"/>
  <c r="F561" i="13" s="1"/>
  <c r="D562" i="13" s="1"/>
  <c r="E909" i="13"/>
  <c r="F909" i="13" s="1"/>
  <c r="D910" i="13" s="1"/>
  <c r="E648" i="13"/>
  <c r="F648" i="13" s="1"/>
  <c r="D649" i="13" s="1"/>
  <c r="E300" i="13"/>
  <c r="F300" i="13" s="1"/>
  <c r="D301" i="13" s="1"/>
  <c r="E387" i="13"/>
  <c r="F387" i="13" s="1"/>
  <c r="D388" i="13" s="1"/>
  <c r="G387" i="13"/>
  <c r="E126" i="13"/>
  <c r="F126" i="13" s="1"/>
  <c r="D127" i="13" s="1"/>
  <c r="E474" i="13"/>
  <c r="F474" i="13" s="1"/>
  <c r="D475" i="13" s="1"/>
  <c r="E995" i="13"/>
  <c r="F995" i="13" s="1"/>
  <c r="D996" i="13" s="1"/>
  <c r="E822" i="13"/>
  <c r="F822" i="13" s="1"/>
  <c r="D823" i="13" s="1"/>
  <c r="E735" i="13"/>
  <c r="F735" i="13" s="1"/>
  <c r="D736" i="13" s="1"/>
  <c r="E213" i="13"/>
  <c r="F213" i="13" s="1"/>
  <c r="D214" i="13" s="1"/>
  <c r="G735" i="13" l="1"/>
  <c r="G213" i="13"/>
  <c r="G561" i="13"/>
  <c r="G126" i="13"/>
  <c r="G648" i="13"/>
  <c r="G909" i="13"/>
  <c r="G474" i="13"/>
  <c r="E996" i="13"/>
  <c r="F996" i="13" s="1"/>
  <c r="D997" i="13" s="1"/>
  <c r="E301" i="13"/>
  <c r="F301" i="13" s="1"/>
  <c r="D302" i="13" s="1"/>
  <c r="G301" i="13"/>
  <c r="E214" i="13"/>
  <c r="F214" i="13" s="1"/>
  <c r="D215" i="13" s="1"/>
  <c r="E475" i="13"/>
  <c r="F475" i="13" s="1"/>
  <c r="D476" i="13" s="1"/>
  <c r="E649" i="13"/>
  <c r="F649" i="13" s="1"/>
  <c r="D650" i="13" s="1"/>
  <c r="E736" i="13"/>
  <c r="F736" i="13" s="1"/>
  <c r="D737" i="13" s="1"/>
  <c r="G736" i="13"/>
  <c r="E127" i="13"/>
  <c r="F127" i="13" s="1"/>
  <c r="D128" i="13" s="1"/>
  <c r="E910" i="13"/>
  <c r="F910" i="13" s="1"/>
  <c r="D911" i="13" s="1"/>
  <c r="G822" i="13"/>
  <c r="E823" i="13"/>
  <c r="F823" i="13" s="1"/>
  <c r="D824" i="13" s="1"/>
  <c r="E388" i="13"/>
  <c r="F388" i="13" s="1"/>
  <c r="D389" i="13" s="1"/>
  <c r="E562" i="13"/>
  <c r="F562" i="13" s="1"/>
  <c r="D563" i="13" s="1"/>
  <c r="G995" i="13"/>
  <c r="G300" i="13"/>
  <c r="G388" i="13" l="1"/>
  <c r="G823" i="13"/>
  <c r="G910" i="13"/>
  <c r="G475" i="13"/>
  <c r="G127" i="13"/>
  <c r="G214" i="13"/>
  <c r="G649" i="13"/>
  <c r="G996" i="13"/>
  <c r="E563" i="13"/>
  <c r="F563" i="13" s="1"/>
  <c r="D564" i="13" s="1"/>
  <c r="G563" i="13"/>
  <c r="E911" i="13"/>
  <c r="F911" i="13" s="1"/>
  <c r="D912" i="13" s="1"/>
  <c r="E476" i="13"/>
  <c r="F476" i="13" s="1"/>
  <c r="D477" i="13" s="1"/>
  <c r="G476" i="13"/>
  <c r="G562" i="13"/>
  <c r="E128" i="13"/>
  <c r="F128" i="13" s="1"/>
  <c r="D129" i="13" s="1"/>
  <c r="E215" i="13"/>
  <c r="F215" i="13" s="1"/>
  <c r="D216" i="13" s="1"/>
  <c r="E389" i="13"/>
  <c r="F389" i="13" s="1"/>
  <c r="D390" i="13" s="1"/>
  <c r="E737" i="13"/>
  <c r="F737" i="13" s="1"/>
  <c r="D738" i="13" s="1"/>
  <c r="E302" i="13"/>
  <c r="F302" i="13" s="1"/>
  <c r="D303" i="13" s="1"/>
  <c r="E824" i="13"/>
  <c r="F824" i="13" s="1"/>
  <c r="D825" i="13" s="1"/>
  <c r="G824" i="13"/>
  <c r="E650" i="13"/>
  <c r="F650" i="13" s="1"/>
  <c r="D651" i="13" s="1"/>
  <c r="G650" i="13"/>
  <c r="E997" i="13"/>
  <c r="F997" i="13" s="1"/>
  <c r="D998" i="13" s="1"/>
  <c r="G215" i="13" l="1"/>
  <c r="G389" i="13"/>
  <c r="G911" i="13"/>
  <c r="G997" i="13"/>
  <c r="G737" i="13"/>
  <c r="E998" i="13"/>
  <c r="F998" i="13" s="1"/>
  <c r="E738" i="13"/>
  <c r="F738" i="13" s="1"/>
  <c r="D739" i="13" s="1"/>
  <c r="E129" i="13"/>
  <c r="F129" i="13" s="1"/>
  <c r="D130" i="13" s="1"/>
  <c r="E477" i="13"/>
  <c r="F477" i="13" s="1"/>
  <c r="D478" i="13" s="1"/>
  <c r="G477" i="13"/>
  <c r="E651" i="13"/>
  <c r="F651" i="13" s="1"/>
  <c r="D652" i="13" s="1"/>
  <c r="E390" i="13"/>
  <c r="F390" i="13" s="1"/>
  <c r="D391" i="13" s="1"/>
  <c r="E303" i="13"/>
  <c r="F303" i="13" s="1"/>
  <c r="D304" i="13" s="1"/>
  <c r="E912" i="13"/>
  <c r="F912" i="13" s="1"/>
  <c r="D913" i="13" s="1"/>
  <c r="E825" i="13"/>
  <c r="F825" i="13" s="1"/>
  <c r="D826" i="13" s="1"/>
  <c r="E216" i="13"/>
  <c r="F216" i="13" s="1"/>
  <c r="D217" i="13" s="1"/>
  <c r="G302" i="13"/>
  <c r="G128" i="13"/>
  <c r="E564" i="13"/>
  <c r="F564" i="13" s="1"/>
  <c r="D565" i="13" s="1"/>
  <c r="G651" i="13" l="1"/>
  <c r="G564" i="13"/>
  <c r="G825" i="13"/>
  <c r="D999" i="13"/>
  <c r="E999" i="13" s="1"/>
  <c r="F999" i="13" s="1"/>
  <c r="D1000" i="13" s="1"/>
  <c r="G998" i="13"/>
  <c r="G912" i="13"/>
  <c r="G216" i="13"/>
  <c r="G390" i="13"/>
  <c r="G738" i="13"/>
  <c r="E391" i="13"/>
  <c r="F391" i="13" s="1"/>
  <c r="D392" i="13" s="1"/>
  <c r="E739" i="13"/>
  <c r="F739" i="13" s="1"/>
  <c r="D740" i="13" s="1"/>
  <c r="E130" i="13"/>
  <c r="F130" i="13" s="1"/>
  <c r="D131" i="13" s="1"/>
  <c r="E217" i="13"/>
  <c r="F217" i="13" s="1"/>
  <c r="D218" i="13" s="1"/>
  <c r="G217" i="13"/>
  <c r="E826" i="13"/>
  <c r="F826" i="13" s="1"/>
  <c r="D827" i="13" s="1"/>
  <c r="E652" i="13"/>
  <c r="F652" i="13" s="1"/>
  <c r="D653" i="13" s="1"/>
  <c r="E565" i="13"/>
  <c r="F565" i="13" s="1"/>
  <c r="D566" i="13" s="1"/>
  <c r="E913" i="13"/>
  <c r="F913" i="13" s="1"/>
  <c r="D914" i="13" s="1"/>
  <c r="E478" i="13"/>
  <c r="F478" i="13" s="1"/>
  <c r="D479" i="13" s="1"/>
  <c r="E304" i="13"/>
  <c r="F304" i="13" s="1"/>
  <c r="D305" i="13" s="1"/>
  <c r="G303" i="13"/>
  <c r="G129" i="13"/>
  <c r="G565" i="13" l="1"/>
  <c r="G478" i="13"/>
  <c r="G826" i="13"/>
  <c r="G652" i="13"/>
  <c r="G391" i="13"/>
  <c r="G739" i="13"/>
  <c r="E131" i="13"/>
  <c r="F131" i="13" s="1"/>
  <c r="D132" i="13" s="1"/>
  <c r="E479" i="13"/>
  <c r="F479" i="13" s="1"/>
  <c r="D480" i="13" s="1"/>
  <c r="E653" i="13"/>
  <c r="F653" i="13" s="1"/>
  <c r="D654" i="13" s="1"/>
  <c r="E740" i="13"/>
  <c r="F740" i="13" s="1"/>
  <c r="D741" i="13" s="1"/>
  <c r="E1000" i="13"/>
  <c r="F1000" i="13" s="1"/>
  <c r="D1001" i="13" s="1"/>
  <c r="G913" i="13"/>
  <c r="E914" i="13"/>
  <c r="F914" i="13" s="1"/>
  <c r="D915" i="13" s="1"/>
  <c r="E827" i="13"/>
  <c r="F827" i="13" s="1"/>
  <c r="D828" i="13" s="1"/>
  <c r="E392" i="13"/>
  <c r="F392" i="13" s="1"/>
  <c r="D393" i="13" s="1"/>
  <c r="E305" i="13"/>
  <c r="F305" i="13" s="1"/>
  <c r="D306" i="13" s="1"/>
  <c r="E566" i="13"/>
  <c r="F566" i="13" s="1"/>
  <c r="D567" i="13" s="1"/>
  <c r="E218" i="13"/>
  <c r="F218" i="13" s="1"/>
  <c r="D219" i="13" s="1"/>
  <c r="G304" i="13"/>
  <c r="G999" i="13"/>
  <c r="G130" i="13"/>
  <c r="G218" i="13" l="1"/>
  <c r="G1000" i="13"/>
  <c r="G131" i="13"/>
  <c r="G827" i="13"/>
  <c r="G479" i="13"/>
  <c r="G653" i="13"/>
  <c r="G305" i="13"/>
  <c r="G740" i="13"/>
  <c r="E219" i="13"/>
  <c r="F219" i="13" s="1"/>
  <c r="D220" i="13" s="1"/>
  <c r="G219" i="13"/>
  <c r="E828" i="13"/>
  <c r="F828" i="13" s="1"/>
  <c r="D829" i="13" s="1"/>
  <c r="E741" i="13"/>
  <c r="F741" i="13" s="1"/>
  <c r="D742" i="13" s="1"/>
  <c r="G566" i="13"/>
  <c r="G914" i="13"/>
  <c r="E654" i="13"/>
  <c r="F654" i="13" s="1"/>
  <c r="D655" i="13" s="1"/>
  <c r="G654" i="13"/>
  <c r="E393" i="13"/>
  <c r="F393" i="13" s="1"/>
  <c r="D394" i="13" s="1"/>
  <c r="E567" i="13"/>
  <c r="F567" i="13" s="1"/>
  <c r="D568" i="13" s="1"/>
  <c r="E915" i="13"/>
  <c r="F915" i="13" s="1"/>
  <c r="D916" i="13" s="1"/>
  <c r="E480" i="13"/>
  <c r="F480" i="13" s="1"/>
  <c r="D481" i="13" s="1"/>
  <c r="G480" i="13"/>
  <c r="E306" i="13"/>
  <c r="F306" i="13" s="1"/>
  <c r="D307" i="13" s="1"/>
  <c r="G306" i="13"/>
  <c r="G392" i="13"/>
  <c r="E1001" i="13"/>
  <c r="F1001" i="13" s="1"/>
  <c r="D1002" i="13" s="1"/>
  <c r="E132" i="13"/>
  <c r="F132" i="13" s="1"/>
  <c r="D133" i="13" s="1"/>
  <c r="G393" i="13" l="1"/>
  <c r="G828" i="13"/>
  <c r="G1001" i="13"/>
  <c r="G567" i="13"/>
  <c r="G741" i="13"/>
  <c r="E133" i="13"/>
  <c r="F133" i="13" s="1"/>
  <c r="D134" i="13" s="1"/>
  <c r="G915" i="13"/>
  <c r="E916" i="13"/>
  <c r="F916" i="13" s="1"/>
  <c r="D917" i="13" s="1"/>
  <c r="E1002" i="13"/>
  <c r="F1002" i="13" s="1"/>
  <c r="D1003" i="13" s="1"/>
  <c r="G1002" i="13"/>
  <c r="E568" i="13"/>
  <c r="F568" i="13" s="1"/>
  <c r="D569" i="13" s="1"/>
  <c r="E742" i="13"/>
  <c r="F742" i="13" s="1"/>
  <c r="D743" i="13" s="1"/>
  <c r="E307" i="13"/>
  <c r="F307" i="13" s="1"/>
  <c r="D308" i="13" s="1"/>
  <c r="E394" i="13"/>
  <c r="F394" i="13" s="1"/>
  <c r="D395" i="13" s="1"/>
  <c r="G394" i="13"/>
  <c r="E829" i="13"/>
  <c r="F829" i="13" s="1"/>
  <c r="D830" i="13" s="1"/>
  <c r="G132" i="13"/>
  <c r="E481" i="13"/>
  <c r="F481" i="13" s="1"/>
  <c r="D482" i="13" s="1"/>
  <c r="E655" i="13"/>
  <c r="F655" i="13" s="1"/>
  <c r="D656" i="13" s="1"/>
  <c r="E220" i="13"/>
  <c r="F220" i="13" s="1"/>
  <c r="D221" i="13" s="1"/>
  <c r="G916" i="13" l="1"/>
  <c r="G481" i="13"/>
  <c r="G742" i="13"/>
  <c r="G133" i="13"/>
  <c r="G655" i="13"/>
  <c r="G307" i="13"/>
  <c r="G220" i="13"/>
  <c r="E830" i="13"/>
  <c r="F830" i="13" s="1"/>
  <c r="D831" i="13" s="1"/>
  <c r="E569" i="13"/>
  <c r="F569" i="13" s="1"/>
  <c r="D570" i="13" s="1"/>
  <c r="G569" i="13"/>
  <c r="E221" i="13"/>
  <c r="F221" i="13" s="1"/>
  <c r="D222" i="13" s="1"/>
  <c r="E395" i="13"/>
  <c r="F395" i="13" s="1"/>
  <c r="D396" i="13" s="1"/>
  <c r="E1003" i="13"/>
  <c r="F1003" i="13" s="1"/>
  <c r="D1004" i="13" s="1"/>
  <c r="E656" i="13"/>
  <c r="F656" i="13" s="1"/>
  <c r="D657" i="13" s="1"/>
  <c r="E308" i="13"/>
  <c r="F308" i="13" s="1"/>
  <c r="D309" i="13" s="1"/>
  <c r="E917" i="13"/>
  <c r="F917" i="13" s="1"/>
  <c r="D918" i="13" s="1"/>
  <c r="E482" i="13"/>
  <c r="F482" i="13" s="1"/>
  <c r="D483" i="13" s="1"/>
  <c r="E743" i="13"/>
  <c r="F743" i="13" s="1"/>
  <c r="D744" i="13" s="1"/>
  <c r="G829" i="13"/>
  <c r="G568" i="13"/>
  <c r="E134" i="13"/>
  <c r="F134" i="13" s="1"/>
  <c r="D135" i="13" s="1"/>
  <c r="G221" i="13" l="1"/>
  <c r="G308" i="13"/>
  <c r="G656" i="13"/>
  <c r="G830" i="13"/>
  <c r="G743" i="13"/>
  <c r="E135" i="13"/>
  <c r="F135" i="13" s="1"/>
  <c r="D136" i="13" s="1"/>
  <c r="E918" i="13"/>
  <c r="F918" i="13" s="1"/>
  <c r="D919" i="13" s="1"/>
  <c r="E396" i="13"/>
  <c r="F396" i="13" s="1"/>
  <c r="D397" i="13" s="1"/>
  <c r="E309" i="13"/>
  <c r="F309" i="13" s="1"/>
  <c r="D310" i="13" s="1"/>
  <c r="E222" i="13"/>
  <c r="F222" i="13" s="1"/>
  <c r="D223" i="13" s="1"/>
  <c r="E744" i="13"/>
  <c r="F744" i="13" s="1"/>
  <c r="D745" i="13" s="1"/>
  <c r="G744" i="13"/>
  <c r="E657" i="13"/>
  <c r="F657" i="13" s="1"/>
  <c r="D658" i="13" s="1"/>
  <c r="E570" i="13"/>
  <c r="F570" i="13" s="1"/>
  <c r="D571" i="13" s="1"/>
  <c r="G482" i="13"/>
  <c r="G1003" i="13"/>
  <c r="E483" i="13"/>
  <c r="F483" i="13" s="1"/>
  <c r="D484" i="13" s="1"/>
  <c r="E1004" i="13"/>
  <c r="F1004" i="13" s="1"/>
  <c r="D1005" i="13" s="1"/>
  <c r="E831" i="13"/>
  <c r="F831" i="13" s="1"/>
  <c r="D832" i="13" s="1"/>
  <c r="G134" i="13"/>
  <c r="G917" i="13"/>
  <c r="G395" i="13"/>
  <c r="G222" i="13" l="1"/>
  <c r="G135" i="13"/>
  <c r="G483" i="13"/>
  <c r="G657" i="13"/>
  <c r="G918" i="13"/>
  <c r="G396" i="13"/>
  <c r="G831" i="13"/>
  <c r="G570" i="13"/>
  <c r="G309" i="13"/>
  <c r="E832" i="13"/>
  <c r="F832" i="13" s="1"/>
  <c r="D833" i="13" s="1"/>
  <c r="E571" i="13"/>
  <c r="F571" i="13" s="1"/>
  <c r="D572" i="13" s="1"/>
  <c r="E310" i="13"/>
  <c r="F310" i="13" s="1"/>
  <c r="D311" i="13" s="1"/>
  <c r="G1004" i="13"/>
  <c r="E1005" i="13"/>
  <c r="F1005" i="13" s="1"/>
  <c r="D1006" i="13" s="1"/>
  <c r="G1005" i="13"/>
  <c r="E658" i="13"/>
  <c r="F658" i="13" s="1"/>
  <c r="D659" i="13" s="1"/>
  <c r="E397" i="13"/>
  <c r="F397" i="13" s="1"/>
  <c r="D398" i="13" s="1"/>
  <c r="E484" i="13"/>
  <c r="F484" i="13" s="1"/>
  <c r="D485" i="13" s="1"/>
  <c r="E745" i="13"/>
  <c r="F745" i="13" s="1"/>
  <c r="D746" i="13" s="1"/>
  <c r="E919" i="13"/>
  <c r="F919" i="13" s="1"/>
  <c r="D920" i="13" s="1"/>
  <c r="E223" i="13"/>
  <c r="F223" i="13" s="1"/>
  <c r="D224" i="13" s="1"/>
  <c r="G223" i="13"/>
  <c r="E136" i="13"/>
  <c r="F136" i="13" s="1"/>
  <c r="D137" i="13" s="1"/>
  <c r="G658" i="13" l="1"/>
  <c r="G397" i="13"/>
  <c r="G571" i="13"/>
  <c r="G136" i="13"/>
  <c r="G832" i="13"/>
  <c r="G484" i="13"/>
  <c r="E311" i="13"/>
  <c r="F311" i="13" s="1"/>
  <c r="D312" i="13" s="1"/>
  <c r="E224" i="13"/>
  <c r="F224" i="13" s="1"/>
  <c r="D225" i="13" s="1"/>
  <c r="E398" i="13"/>
  <c r="F398" i="13" s="1"/>
  <c r="D399" i="13" s="1"/>
  <c r="G919" i="13"/>
  <c r="E572" i="13"/>
  <c r="F572" i="13" s="1"/>
  <c r="D573" i="13" s="1"/>
  <c r="E920" i="13"/>
  <c r="F920" i="13" s="1"/>
  <c r="D921" i="13" s="1"/>
  <c r="G920" i="13"/>
  <c r="E659" i="13"/>
  <c r="F659" i="13" s="1"/>
  <c r="D660" i="13" s="1"/>
  <c r="G745" i="13"/>
  <c r="E833" i="13"/>
  <c r="F833" i="13" s="1"/>
  <c r="D834" i="13" s="1"/>
  <c r="E746" i="13"/>
  <c r="F746" i="13" s="1"/>
  <c r="D747" i="13" s="1"/>
  <c r="G746" i="13"/>
  <c r="E1006" i="13"/>
  <c r="F1006" i="13" s="1"/>
  <c r="D1007" i="13" s="1"/>
  <c r="G1006" i="13"/>
  <c r="E137" i="13"/>
  <c r="F137" i="13" s="1"/>
  <c r="D138" i="13" s="1"/>
  <c r="E485" i="13"/>
  <c r="F485" i="13" s="1"/>
  <c r="D486" i="13" s="1"/>
  <c r="G310" i="13"/>
  <c r="G833" i="13" l="1"/>
  <c r="G311" i="13"/>
  <c r="G659" i="13"/>
  <c r="G224" i="13"/>
  <c r="G485" i="13"/>
  <c r="G398" i="13"/>
  <c r="G137" i="13"/>
  <c r="E486" i="13"/>
  <c r="F486" i="13" s="1"/>
  <c r="D487" i="13" s="1"/>
  <c r="E834" i="13"/>
  <c r="F834" i="13" s="1"/>
  <c r="D835" i="13" s="1"/>
  <c r="E138" i="13"/>
  <c r="F138" i="13" s="1"/>
  <c r="D139" i="13" s="1"/>
  <c r="E399" i="13"/>
  <c r="F399" i="13" s="1"/>
  <c r="D400" i="13" s="1"/>
  <c r="E573" i="13"/>
  <c r="F573" i="13" s="1"/>
  <c r="D574" i="13" s="1"/>
  <c r="E660" i="13"/>
  <c r="F660" i="13" s="1"/>
  <c r="D661" i="13" s="1"/>
  <c r="E1007" i="13"/>
  <c r="F1007" i="13" s="1"/>
  <c r="D1008" i="13" s="1"/>
  <c r="E225" i="13"/>
  <c r="F225" i="13" s="1"/>
  <c r="D226" i="13" s="1"/>
  <c r="E921" i="13"/>
  <c r="F921" i="13" s="1"/>
  <c r="D922" i="13" s="1"/>
  <c r="E747" i="13"/>
  <c r="F747" i="13" s="1"/>
  <c r="D748" i="13" s="1"/>
  <c r="G572" i="13"/>
  <c r="E312" i="13"/>
  <c r="F312" i="13" s="1"/>
  <c r="D313" i="13" s="1"/>
  <c r="G747" i="13" l="1"/>
  <c r="G138" i="13"/>
  <c r="G660" i="13"/>
  <c r="G486" i="13"/>
  <c r="G1007" i="13"/>
  <c r="G834" i="13"/>
  <c r="G921" i="13"/>
  <c r="G573" i="13"/>
  <c r="G225" i="13"/>
  <c r="G399" i="13"/>
  <c r="G312" i="13"/>
  <c r="E226" i="13"/>
  <c r="F226" i="13" s="1"/>
  <c r="D227" i="13" s="1"/>
  <c r="E400" i="13"/>
  <c r="F400" i="13" s="1"/>
  <c r="D401" i="13" s="1"/>
  <c r="E1008" i="13"/>
  <c r="F1008" i="13" s="1"/>
  <c r="D1009" i="13" s="1"/>
  <c r="E139" i="13"/>
  <c r="F139" i="13" s="1"/>
  <c r="D140" i="13" s="1"/>
  <c r="E313" i="13"/>
  <c r="F313" i="13" s="1"/>
  <c r="D314" i="13" s="1"/>
  <c r="G313" i="13"/>
  <c r="E748" i="13"/>
  <c r="F748" i="13" s="1"/>
  <c r="D749" i="13" s="1"/>
  <c r="E661" i="13"/>
  <c r="F661" i="13" s="1"/>
  <c r="D662" i="13" s="1"/>
  <c r="E835" i="13"/>
  <c r="F835" i="13" s="1"/>
  <c r="D836" i="13" s="1"/>
  <c r="E922" i="13"/>
  <c r="F922" i="13" s="1"/>
  <c r="D923" i="13" s="1"/>
  <c r="E574" i="13"/>
  <c r="F574" i="13" s="1"/>
  <c r="D575" i="13" s="1"/>
  <c r="E487" i="13"/>
  <c r="F487" i="13" s="1"/>
  <c r="D488" i="13" s="1"/>
  <c r="G226" i="13" l="1"/>
  <c r="E836" i="13"/>
  <c r="F836" i="13" s="1"/>
  <c r="D837" i="13" s="1"/>
  <c r="G836" i="13"/>
  <c r="E140" i="13"/>
  <c r="F140" i="13" s="1"/>
  <c r="D141" i="13" s="1"/>
  <c r="G140" i="13"/>
  <c r="G487" i="13"/>
  <c r="G661" i="13"/>
  <c r="G1008" i="13"/>
  <c r="G574" i="13"/>
  <c r="G748" i="13"/>
  <c r="G400" i="13"/>
  <c r="E1009" i="13"/>
  <c r="F1009" i="13" s="1"/>
  <c r="E575" i="13"/>
  <c r="F575" i="13" s="1"/>
  <c r="D576" i="13" s="1"/>
  <c r="E749" i="13"/>
  <c r="F749" i="13" s="1"/>
  <c r="D750" i="13" s="1"/>
  <c r="E401" i="13"/>
  <c r="F401" i="13" s="1"/>
  <c r="D402" i="13" s="1"/>
  <c r="E488" i="13"/>
  <c r="F488" i="13" s="1"/>
  <c r="D489" i="13" s="1"/>
  <c r="G922" i="13"/>
  <c r="E923" i="13"/>
  <c r="F923" i="13" s="1"/>
  <c r="D924" i="13" s="1"/>
  <c r="G923" i="13"/>
  <c r="E314" i="13"/>
  <c r="F314" i="13" s="1"/>
  <c r="D315" i="13" s="1"/>
  <c r="E227" i="13"/>
  <c r="F227" i="13" s="1"/>
  <c r="D228" i="13" s="1"/>
  <c r="G227" i="13"/>
  <c r="E662" i="13"/>
  <c r="F662" i="13" s="1"/>
  <c r="D663" i="13" s="1"/>
  <c r="G835" i="13"/>
  <c r="G139" i="13"/>
  <c r="G488" i="13" l="1"/>
  <c r="D1010" i="13"/>
  <c r="G1009" i="13"/>
  <c r="G314" i="13"/>
  <c r="G662" i="13"/>
  <c r="G401" i="13"/>
  <c r="E750" i="13"/>
  <c r="F750" i="13" s="1"/>
  <c r="D751" i="13" s="1"/>
  <c r="E924" i="13"/>
  <c r="F924" i="13" s="1"/>
  <c r="D925" i="13" s="1"/>
  <c r="G575" i="13"/>
  <c r="E663" i="13"/>
  <c r="F663" i="13" s="1"/>
  <c r="D664" i="13" s="1"/>
  <c r="E489" i="13"/>
  <c r="F489" i="13" s="1"/>
  <c r="D490" i="13" s="1"/>
  <c r="E1010" i="13"/>
  <c r="F1010" i="13"/>
  <c r="D1011" i="13" s="1"/>
  <c r="E228" i="13"/>
  <c r="F228" i="13" s="1"/>
  <c r="D229" i="13" s="1"/>
  <c r="E141" i="13"/>
  <c r="F141" i="13" s="1"/>
  <c r="D142" i="13" s="1"/>
  <c r="E402" i="13"/>
  <c r="F402" i="13" s="1"/>
  <c r="D403" i="13" s="1"/>
  <c r="E576" i="13"/>
  <c r="F576" i="13" s="1"/>
  <c r="D577" i="13" s="1"/>
  <c r="G576" i="13"/>
  <c r="E315" i="13"/>
  <c r="F315" i="13" s="1"/>
  <c r="D316" i="13" s="1"/>
  <c r="G749" i="13"/>
  <c r="E837" i="13"/>
  <c r="F837" i="13" s="1"/>
  <c r="D838" i="13" s="1"/>
  <c r="G1010" i="13" l="1"/>
  <c r="G315" i="13"/>
  <c r="G402" i="13"/>
  <c r="G750" i="13"/>
  <c r="G228" i="13"/>
  <c r="G924" i="13"/>
  <c r="G141" i="13"/>
  <c r="E490" i="13"/>
  <c r="F490" i="13" s="1"/>
  <c r="D491" i="13" s="1"/>
  <c r="E142" i="13"/>
  <c r="F142" i="13" s="1"/>
  <c r="D143" i="13" s="1"/>
  <c r="G663" i="13"/>
  <c r="E316" i="13"/>
  <c r="F316" i="13" s="1"/>
  <c r="D317" i="13" s="1"/>
  <c r="E229" i="13"/>
  <c r="F229" i="13" s="1"/>
  <c r="D230" i="13" s="1"/>
  <c r="E664" i="13"/>
  <c r="F664" i="13" s="1"/>
  <c r="D665" i="13" s="1"/>
  <c r="G664" i="13"/>
  <c r="E577" i="13"/>
  <c r="F577" i="13" s="1"/>
  <c r="D578" i="13" s="1"/>
  <c r="E1011" i="13"/>
  <c r="F1011" i="13"/>
  <c r="D1012" i="13" s="1"/>
  <c r="E925" i="13"/>
  <c r="F925" i="13" s="1"/>
  <c r="D926" i="13" s="1"/>
  <c r="G925" i="13"/>
  <c r="E838" i="13"/>
  <c r="F838" i="13" s="1"/>
  <c r="D839" i="13" s="1"/>
  <c r="G837" i="13"/>
  <c r="E403" i="13"/>
  <c r="F403" i="13" s="1"/>
  <c r="D404" i="13" s="1"/>
  <c r="G489" i="13"/>
  <c r="E751" i="13"/>
  <c r="F751" i="13" s="1"/>
  <c r="D752" i="13" s="1"/>
  <c r="G577" i="13" l="1"/>
  <c r="G490" i="13"/>
  <c r="G838" i="13"/>
  <c r="G751" i="13"/>
  <c r="G403" i="13"/>
  <c r="G142" i="13"/>
  <c r="G1011" i="13"/>
  <c r="G316" i="13"/>
  <c r="E1012" i="13"/>
  <c r="F1012" i="13" s="1"/>
  <c r="E317" i="13"/>
  <c r="F317" i="13" s="1"/>
  <c r="D318" i="13" s="1"/>
  <c r="E578" i="13"/>
  <c r="F578" i="13" s="1"/>
  <c r="D579" i="13" s="1"/>
  <c r="E404" i="13"/>
  <c r="F404" i="13" s="1"/>
  <c r="D405" i="13" s="1"/>
  <c r="E839" i="13"/>
  <c r="F839" i="13" s="1"/>
  <c r="D840" i="13" s="1"/>
  <c r="G839" i="13"/>
  <c r="E143" i="13"/>
  <c r="F143" i="13" s="1"/>
  <c r="D144" i="13" s="1"/>
  <c r="E230" i="13"/>
  <c r="F230" i="13" s="1"/>
  <c r="D231" i="13" s="1"/>
  <c r="E665" i="13"/>
  <c r="F665" i="13" s="1"/>
  <c r="D666" i="13" s="1"/>
  <c r="E752" i="13"/>
  <c r="F752" i="13" s="1"/>
  <c r="D753" i="13" s="1"/>
  <c r="E926" i="13"/>
  <c r="F926" i="13" s="1"/>
  <c r="D927" i="13" s="1"/>
  <c r="G229" i="13"/>
  <c r="E491" i="13"/>
  <c r="F491" i="13" s="1"/>
  <c r="D492" i="13" s="1"/>
  <c r="D1013" i="13" l="1"/>
  <c r="G1012" i="13"/>
  <c r="G491" i="13"/>
  <c r="G143" i="13"/>
  <c r="G926" i="13"/>
  <c r="E492" i="13"/>
  <c r="F492" i="13" s="1"/>
  <c r="D493" i="13" s="1"/>
  <c r="G230" i="13"/>
  <c r="G578" i="13"/>
  <c r="E231" i="13"/>
  <c r="F231" i="13" s="1"/>
  <c r="D232" i="13" s="1"/>
  <c r="G231" i="13"/>
  <c r="E579" i="13"/>
  <c r="F579" i="13" s="1"/>
  <c r="D580" i="13" s="1"/>
  <c r="E666" i="13"/>
  <c r="F666" i="13" s="1"/>
  <c r="D667" i="13" s="1"/>
  <c r="E318" i="13"/>
  <c r="F318" i="13" s="1"/>
  <c r="D319" i="13" s="1"/>
  <c r="E405" i="13"/>
  <c r="F405" i="13" s="1"/>
  <c r="D406" i="13" s="1"/>
  <c r="E927" i="13"/>
  <c r="F927" i="13" s="1"/>
  <c r="D928" i="13" s="1"/>
  <c r="E144" i="13"/>
  <c r="F144" i="13" s="1"/>
  <c r="D145" i="13" s="1"/>
  <c r="G144" i="13"/>
  <c r="G317" i="13"/>
  <c r="G752" i="13"/>
  <c r="E753" i="13"/>
  <c r="F753" i="13" s="1"/>
  <c r="D754" i="13" s="1"/>
  <c r="E840" i="13"/>
  <c r="F840" i="13" s="1"/>
  <c r="D841" i="13" s="1"/>
  <c r="E1013" i="13"/>
  <c r="F1013" i="13" s="1"/>
  <c r="G665" i="13"/>
  <c r="G404" i="13"/>
  <c r="G579" i="13" l="1"/>
  <c r="G927" i="13"/>
  <c r="G405" i="13"/>
  <c r="G840" i="13"/>
  <c r="G666" i="13"/>
  <c r="G492" i="13"/>
  <c r="G318" i="13"/>
  <c r="D1014" i="13"/>
  <c r="G1013" i="13"/>
  <c r="E841" i="13"/>
  <c r="F841" i="13" s="1"/>
  <c r="D842" i="13" s="1"/>
  <c r="E928" i="13"/>
  <c r="F928" i="13" s="1"/>
  <c r="D929" i="13" s="1"/>
  <c r="E580" i="13"/>
  <c r="F580" i="13" s="1"/>
  <c r="D581" i="13" s="1"/>
  <c r="G753" i="13"/>
  <c r="E754" i="13"/>
  <c r="F754" i="13" s="1"/>
  <c r="D755" i="13" s="1"/>
  <c r="G754" i="13"/>
  <c r="E406" i="13"/>
  <c r="F406" i="13" s="1"/>
  <c r="D407" i="13" s="1"/>
  <c r="E232" i="13"/>
  <c r="F232" i="13" s="1"/>
  <c r="D233" i="13" s="1"/>
  <c r="E319" i="13"/>
  <c r="F319" i="13" s="1"/>
  <c r="D320" i="13" s="1"/>
  <c r="E145" i="13"/>
  <c r="F145" i="13" s="1"/>
  <c r="D146" i="13" s="1"/>
  <c r="E667" i="13"/>
  <c r="F667" i="13" s="1"/>
  <c r="D668" i="13" s="1"/>
  <c r="E493" i="13"/>
  <c r="F493" i="13" s="1"/>
  <c r="D494" i="13" s="1"/>
  <c r="G406" i="13" l="1"/>
  <c r="G145" i="13"/>
  <c r="G841" i="13"/>
  <c r="G928" i="13"/>
  <c r="G667" i="13"/>
  <c r="G580" i="13"/>
  <c r="G493" i="13"/>
  <c r="G232" i="13"/>
  <c r="E581" i="13"/>
  <c r="F581" i="13" s="1"/>
  <c r="D582" i="13" s="1"/>
  <c r="E494" i="13"/>
  <c r="F494" i="13" s="1"/>
  <c r="D495" i="13" s="1"/>
  <c r="E233" i="13"/>
  <c r="F233" i="13" s="1"/>
  <c r="D234" i="13" s="1"/>
  <c r="E929" i="13"/>
  <c r="F929" i="13" s="1"/>
  <c r="D930" i="13" s="1"/>
  <c r="G929" i="13"/>
  <c r="E668" i="13"/>
  <c r="F668" i="13" s="1"/>
  <c r="D669" i="13" s="1"/>
  <c r="E407" i="13"/>
  <c r="F407" i="13" s="1"/>
  <c r="D408" i="13" s="1"/>
  <c r="E320" i="13"/>
  <c r="F320" i="13" s="1"/>
  <c r="D321" i="13" s="1"/>
  <c r="E842" i="13"/>
  <c r="F842" i="13" s="1"/>
  <c r="D843" i="13" s="1"/>
  <c r="E146" i="13"/>
  <c r="F146" i="13" s="1"/>
  <c r="D147" i="13" s="1"/>
  <c r="G146" i="13"/>
  <c r="E755" i="13"/>
  <c r="F755" i="13" s="1"/>
  <c r="D756" i="13" s="1"/>
  <c r="G319" i="13"/>
  <c r="E1014" i="13"/>
  <c r="F1014" i="13" s="1"/>
  <c r="D1015" i="13" s="1"/>
  <c r="G233" i="13" l="1"/>
  <c r="G842" i="13"/>
  <c r="G581" i="13"/>
  <c r="G320" i="13"/>
  <c r="G668" i="13"/>
  <c r="G755" i="13"/>
  <c r="G407" i="13"/>
  <c r="G494" i="13"/>
  <c r="E321" i="13"/>
  <c r="F321" i="13" s="1"/>
  <c r="D322" i="13" s="1"/>
  <c r="E234" i="13"/>
  <c r="F234" i="13" s="1"/>
  <c r="D235" i="13" s="1"/>
  <c r="E756" i="13"/>
  <c r="F756" i="13" s="1"/>
  <c r="D757" i="13" s="1"/>
  <c r="E408" i="13"/>
  <c r="F408" i="13" s="1"/>
  <c r="D409" i="13" s="1"/>
  <c r="G408" i="13"/>
  <c r="E495" i="13"/>
  <c r="F495" i="13" s="1"/>
  <c r="D496" i="13" s="1"/>
  <c r="G495" i="13"/>
  <c r="E147" i="13"/>
  <c r="F147" i="13" s="1"/>
  <c r="D148" i="13" s="1"/>
  <c r="E669" i="13"/>
  <c r="F669" i="13" s="1"/>
  <c r="D670" i="13" s="1"/>
  <c r="E582" i="13"/>
  <c r="F582" i="13" s="1"/>
  <c r="D583" i="13" s="1"/>
  <c r="E1015" i="13"/>
  <c r="F1015" i="13" s="1"/>
  <c r="D1016" i="13" s="1"/>
  <c r="G1014" i="13"/>
  <c r="E843" i="13"/>
  <c r="F843" i="13" s="1"/>
  <c r="D844" i="13" s="1"/>
  <c r="E930" i="13"/>
  <c r="F930" i="13" s="1"/>
  <c r="D931" i="13" s="1"/>
  <c r="G930" i="13"/>
  <c r="G582" i="13" l="1"/>
  <c r="G321" i="13"/>
  <c r="G1015" i="13"/>
  <c r="G234" i="13"/>
  <c r="G147" i="13"/>
  <c r="G843" i="13"/>
  <c r="G669" i="13"/>
  <c r="G756" i="13"/>
  <c r="E583" i="13"/>
  <c r="F583" i="13" s="1"/>
  <c r="D584" i="13" s="1"/>
  <c r="E409" i="13"/>
  <c r="F409" i="13" s="1"/>
  <c r="D410" i="13" s="1"/>
  <c r="G409" i="13"/>
  <c r="E931" i="13"/>
  <c r="F931" i="13" s="1"/>
  <c r="D932" i="13" s="1"/>
  <c r="E670" i="13"/>
  <c r="F670" i="13" s="1"/>
  <c r="D671" i="13" s="1"/>
  <c r="E757" i="13"/>
  <c r="F757" i="13" s="1"/>
  <c r="D758" i="13" s="1"/>
  <c r="E844" i="13"/>
  <c r="F844" i="13" s="1"/>
  <c r="D845" i="13" s="1"/>
  <c r="E148" i="13"/>
  <c r="F148" i="13" s="1"/>
  <c r="D149" i="13" s="1"/>
  <c r="E235" i="13"/>
  <c r="F235" i="13" s="1"/>
  <c r="D236" i="13" s="1"/>
  <c r="E1016" i="13"/>
  <c r="F1016" i="13" s="1"/>
  <c r="D1017" i="13" s="1"/>
  <c r="E496" i="13"/>
  <c r="F496" i="13" s="1"/>
  <c r="D497" i="13" s="1"/>
  <c r="E322" i="13"/>
  <c r="F322" i="13" s="1"/>
  <c r="D323" i="13" s="1"/>
  <c r="G235" i="13" l="1"/>
  <c r="G1016" i="13"/>
  <c r="G496" i="13"/>
  <c r="G757" i="13"/>
  <c r="G583" i="13"/>
  <c r="G844" i="13"/>
  <c r="G670" i="13"/>
  <c r="G322" i="13"/>
  <c r="G148" i="13"/>
  <c r="G931" i="13"/>
  <c r="E236" i="13"/>
  <c r="F236" i="13" s="1"/>
  <c r="D237" i="13" s="1"/>
  <c r="E671" i="13"/>
  <c r="F671" i="13" s="1"/>
  <c r="D672" i="13" s="1"/>
  <c r="E323" i="13"/>
  <c r="F323" i="13" s="1"/>
  <c r="D324" i="13" s="1"/>
  <c r="E149" i="13"/>
  <c r="F149" i="13" s="1"/>
  <c r="D150" i="13" s="1"/>
  <c r="E932" i="13"/>
  <c r="F932" i="13" s="1"/>
  <c r="D933" i="13" s="1"/>
  <c r="E497" i="13"/>
  <c r="F497" i="13" s="1"/>
  <c r="D498" i="13" s="1"/>
  <c r="E845" i="13"/>
  <c r="F845" i="13" s="1"/>
  <c r="D846" i="13" s="1"/>
  <c r="E410" i="13"/>
  <c r="F410" i="13" s="1"/>
  <c r="D411" i="13" s="1"/>
  <c r="E1017" i="13"/>
  <c r="F1017" i="13" s="1"/>
  <c r="D1018" i="13" s="1"/>
  <c r="E758" i="13"/>
  <c r="F758" i="13" s="1"/>
  <c r="D759" i="13" s="1"/>
  <c r="E584" i="13"/>
  <c r="F584" i="13" s="1"/>
  <c r="D585" i="13" s="1"/>
  <c r="G758" i="13" l="1"/>
  <c r="G149" i="13"/>
  <c r="G410" i="13"/>
  <c r="G1017" i="13"/>
  <c r="G497" i="13"/>
  <c r="G236" i="13"/>
  <c r="G671" i="13"/>
  <c r="G584" i="13"/>
  <c r="G845" i="13"/>
  <c r="G323" i="13"/>
  <c r="E411" i="13"/>
  <c r="F411" i="13" s="1"/>
  <c r="D412" i="13" s="1"/>
  <c r="E150" i="13"/>
  <c r="F150" i="13" s="1"/>
  <c r="D151" i="13" s="1"/>
  <c r="G150" i="13"/>
  <c r="E585" i="13"/>
  <c r="F585" i="13" s="1"/>
  <c r="D586" i="13" s="1"/>
  <c r="E846" i="13"/>
  <c r="F846" i="13" s="1"/>
  <c r="D847" i="13" s="1"/>
  <c r="G846" i="13"/>
  <c r="E324" i="13"/>
  <c r="F324" i="13" s="1"/>
  <c r="D325" i="13" s="1"/>
  <c r="E759" i="13"/>
  <c r="F759" i="13" s="1"/>
  <c r="D760" i="13" s="1"/>
  <c r="E498" i="13"/>
  <c r="F498" i="13" s="1"/>
  <c r="D499" i="13" s="1"/>
  <c r="E672" i="13"/>
  <c r="F672" i="13" s="1"/>
  <c r="D673" i="13" s="1"/>
  <c r="E933" i="13"/>
  <c r="F933" i="13" s="1"/>
  <c r="D934" i="13" s="1"/>
  <c r="E1018" i="13"/>
  <c r="F1018" i="13" s="1"/>
  <c r="D1019" i="13" s="1"/>
  <c r="G932" i="13"/>
  <c r="E237" i="13"/>
  <c r="F237" i="13" s="1"/>
  <c r="D238" i="13" s="1"/>
  <c r="G672" i="13" l="1"/>
  <c r="G237" i="13"/>
  <c r="G933" i="13"/>
  <c r="G411" i="13"/>
  <c r="G324" i="13"/>
  <c r="G759" i="13"/>
  <c r="G1018" i="13"/>
  <c r="G498" i="13"/>
  <c r="G585" i="13"/>
  <c r="E238" i="13"/>
  <c r="F238" i="13" s="1"/>
  <c r="D239" i="13" s="1"/>
  <c r="E673" i="13"/>
  <c r="F673" i="13" s="1"/>
  <c r="D674" i="13" s="1"/>
  <c r="E847" i="13"/>
  <c r="F847" i="13" s="1"/>
  <c r="D848" i="13" s="1"/>
  <c r="E499" i="13"/>
  <c r="F499" i="13" s="1"/>
  <c r="D500" i="13" s="1"/>
  <c r="E586" i="13"/>
  <c r="F586" i="13" s="1"/>
  <c r="D587" i="13" s="1"/>
  <c r="E1019" i="13"/>
  <c r="F1019" i="13" s="1"/>
  <c r="D1020" i="13" s="1"/>
  <c r="E760" i="13"/>
  <c r="F760" i="13" s="1"/>
  <c r="D761" i="13" s="1"/>
  <c r="E151" i="13"/>
  <c r="F151" i="13" s="1"/>
  <c r="D152" i="13" s="1"/>
  <c r="E934" i="13"/>
  <c r="F934" i="13" s="1"/>
  <c r="D935" i="13" s="1"/>
  <c r="E325" i="13"/>
  <c r="F325" i="13" s="1"/>
  <c r="D326" i="13" s="1"/>
  <c r="G325" i="13"/>
  <c r="E412" i="13"/>
  <c r="F412" i="13" s="1"/>
  <c r="D413" i="13" s="1"/>
  <c r="G499" i="13" l="1"/>
  <c r="G586" i="13"/>
  <c r="G238" i="13"/>
  <c r="G673" i="13"/>
  <c r="G1019" i="13"/>
  <c r="G934" i="13"/>
  <c r="G847" i="13"/>
  <c r="G412" i="13"/>
  <c r="G760" i="13"/>
  <c r="E500" i="13"/>
  <c r="F500" i="13" s="1"/>
  <c r="D501" i="13" s="1"/>
  <c r="E413" i="13"/>
  <c r="F413" i="13" s="1"/>
  <c r="D414" i="13" s="1"/>
  <c r="E761" i="13"/>
  <c r="F761" i="13" s="1"/>
  <c r="D762" i="13" s="1"/>
  <c r="E848" i="13"/>
  <c r="F848" i="13" s="1"/>
  <c r="D849" i="13" s="1"/>
  <c r="G848" i="13"/>
  <c r="E152" i="13"/>
  <c r="F152" i="13" s="1"/>
  <c r="D153" i="13" s="1"/>
  <c r="G152" i="13"/>
  <c r="E326" i="13"/>
  <c r="F326" i="13" s="1"/>
  <c r="D327" i="13" s="1"/>
  <c r="E1020" i="13"/>
  <c r="F1020" i="13"/>
  <c r="D1021" i="13" s="1"/>
  <c r="E674" i="13"/>
  <c r="F674" i="13" s="1"/>
  <c r="D675" i="13" s="1"/>
  <c r="G674" i="13"/>
  <c r="E935" i="13"/>
  <c r="F935" i="13" s="1"/>
  <c r="D936" i="13" s="1"/>
  <c r="G935" i="13"/>
  <c r="G151" i="13"/>
  <c r="E587" i="13"/>
  <c r="F587" i="13" s="1"/>
  <c r="D588" i="13" s="1"/>
  <c r="E239" i="13"/>
  <c r="F239" i="13" s="1"/>
  <c r="D240" i="13" s="1"/>
  <c r="G239" i="13" l="1"/>
  <c r="G326" i="13"/>
  <c r="G500" i="13"/>
  <c r="G587" i="13"/>
  <c r="G413" i="13"/>
  <c r="E588" i="13"/>
  <c r="F588" i="13" s="1"/>
  <c r="D589" i="13" s="1"/>
  <c r="G588" i="13"/>
  <c r="G761" i="13"/>
  <c r="E327" i="13"/>
  <c r="F327" i="13" s="1"/>
  <c r="D328" i="13" s="1"/>
  <c r="G327" i="13"/>
  <c r="E414" i="13"/>
  <c r="F414" i="13" s="1"/>
  <c r="D415" i="13" s="1"/>
  <c r="E762" i="13"/>
  <c r="F762" i="13" s="1"/>
  <c r="D763" i="13" s="1"/>
  <c r="E936" i="13"/>
  <c r="F936" i="13" s="1"/>
  <c r="D937" i="13" s="1"/>
  <c r="G936" i="13"/>
  <c r="E153" i="13"/>
  <c r="F153" i="13" s="1"/>
  <c r="D154" i="13" s="1"/>
  <c r="E501" i="13"/>
  <c r="F501" i="13" s="1"/>
  <c r="D502" i="13" s="1"/>
  <c r="E675" i="13"/>
  <c r="F675" i="13" s="1"/>
  <c r="D676" i="13" s="1"/>
  <c r="E1021" i="13"/>
  <c r="F1021" i="13" s="1"/>
  <c r="E240" i="13"/>
  <c r="F240" i="13" s="1"/>
  <c r="D241" i="13" s="1"/>
  <c r="G1020" i="13"/>
  <c r="E849" i="13"/>
  <c r="F849" i="13" s="1"/>
  <c r="D850" i="13" s="1"/>
  <c r="G240" i="13" l="1"/>
  <c r="D1022" i="13"/>
  <c r="G1021" i="13"/>
  <c r="G153" i="13"/>
  <c r="E676" i="13"/>
  <c r="F676" i="13" s="1"/>
  <c r="D677" i="13" s="1"/>
  <c r="G676" i="13"/>
  <c r="E763" i="13"/>
  <c r="F763" i="13" s="1"/>
  <c r="D764" i="13" s="1"/>
  <c r="G501" i="13"/>
  <c r="G414" i="13"/>
  <c r="E850" i="13"/>
  <c r="F850" i="13" s="1"/>
  <c r="D851" i="13" s="1"/>
  <c r="E241" i="13"/>
  <c r="F241" i="13" s="1"/>
  <c r="D242" i="13" s="1"/>
  <c r="E415" i="13"/>
  <c r="F415" i="13" s="1"/>
  <c r="D416" i="13" s="1"/>
  <c r="E154" i="13"/>
  <c r="F154" i="13" s="1"/>
  <c r="D155" i="13" s="1"/>
  <c r="E328" i="13"/>
  <c r="F328" i="13" s="1"/>
  <c r="D329" i="13" s="1"/>
  <c r="E502" i="13"/>
  <c r="F502" i="13" s="1"/>
  <c r="D503" i="13" s="1"/>
  <c r="E1022" i="13"/>
  <c r="F1022" i="13" s="1"/>
  <c r="E937" i="13"/>
  <c r="F937" i="13" s="1"/>
  <c r="D938" i="13" s="1"/>
  <c r="G849" i="13"/>
  <c r="G675" i="13"/>
  <c r="G762" i="13"/>
  <c r="E589" i="13"/>
  <c r="F589" i="13" s="1"/>
  <c r="D590" i="13" s="1"/>
  <c r="D1023" i="13" l="1"/>
  <c r="G1022" i="13"/>
  <c r="G937" i="13"/>
  <c r="G415" i="13"/>
  <c r="G154" i="13"/>
  <c r="G763" i="13"/>
  <c r="G589" i="13"/>
  <c r="G241" i="13"/>
  <c r="G850" i="13"/>
  <c r="E329" i="13"/>
  <c r="F329" i="13" s="1"/>
  <c r="D330" i="13" s="1"/>
  <c r="E851" i="13"/>
  <c r="F851" i="13" s="1"/>
  <c r="D852" i="13" s="1"/>
  <c r="E938" i="13"/>
  <c r="F938" i="13" s="1"/>
  <c r="D939" i="13" s="1"/>
  <c r="E155" i="13"/>
  <c r="F155" i="13" s="1"/>
  <c r="D156" i="13" s="1"/>
  <c r="G155" i="13"/>
  <c r="E1023" i="13"/>
  <c r="F1023" i="13" s="1"/>
  <c r="D1024" i="13" s="1"/>
  <c r="E590" i="13"/>
  <c r="F590" i="13" s="1"/>
  <c r="D591" i="13" s="1"/>
  <c r="E416" i="13"/>
  <c r="F416" i="13" s="1"/>
  <c r="D417" i="13" s="1"/>
  <c r="E764" i="13"/>
  <c r="F764" i="13" s="1"/>
  <c r="D765" i="13" s="1"/>
  <c r="G764" i="13"/>
  <c r="G502" i="13"/>
  <c r="G328" i="13"/>
  <c r="E503" i="13"/>
  <c r="F503" i="13" s="1"/>
  <c r="D504" i="13" s="1"/>
  <c r="E242" i="13"/>
  <c r="F242" i="13" s="1"/>
  <c r="D243" i="13" s="1"/>
  <c r="E677" i="13"/>
  <c r="F677" i="13" s="1"/>
  <c r="D678" i="13" s="1"/>
  <c r="G677" i="13"/>
  <c r="G590" i="13" l="1"/>
  <c r="G1023" i="13"/>
  <c r="G503" i="13"/>
  <c r="G329" i="13"/>
  <c r="G851" i="13"/>
  <c r="G416" i="13"/>
  <c r="G938" i="13"/>
  <c r="E678" i="13"/>
  <c r="F678" i="13" s="1"/>
  <c r="D679" i="13" s="1"/>
  <c r="E765" i="13"/>
  <c r="F765" i="13" s="1"/>
  <c r="D766" i="13" s="1"/>
  <c r="E156" i="13"/>
  <c r="F156" i="13" s="1"/>
  <c r="D157" i="13" s="1"/>
  <c r="G242" i="13"/>
  <c r="E243" i="13"/>
  <c r="F243" i="13" s="1"/>
  <c r="D244" i="13" s="1"/>
  <c r="E417" i="13"/>
  <c r="F417" i="13" s="1"/>
  <c r="D418" i="13" s="1"/>
  <c r="E939" i="13"/>
  <c r="F939" i="13" s="1"/>
  <c r="D940" i="13" s="1"/>
  <c r="G939" i="13"/>
  <c r="E504" i="13"/>
  <c r="F504" i="13" s="1"/>
  <c r="D505" i="13" s="1"/>
  <c r="E591" i="13"/>
  <c r="F591" i="13" s="1"/>
  <c r="D592" i="13" s="1"/>
  <c r="E852" i="13"/>
  <c r="F852" i="13" s="1"/>
  <c r="D853" i="13" s="1"/>
  <c r="G852" i="13"/>
  <c r="E1024" i="13"/>
  <c r="F1024" i="13" s="1"/>
  <c r="D1025" i="13" s="1"/>
  <c r="E330" i="13"/>
  <c r="F330" i="13" s="1"/>
  <c r="D331" i="13" s="1"/>
  <c r="G417" i="13" l="1"/>
  <c r="G1024" i="13"/>
  <c r="G678" i="13"/>
  <c r="G330" i="13"/>
  <c r="G765" i="13"/>
  <c r="G156" i="13"/>
  <c r="E331" i="13"/>
  <c r="F331" i="13" s="1"/>
  <c r="D332" i="13" s="1"/>
  <c r="G504" i="13"/>
  <c r="E1025" i="13"/>
  <c r="F1025" i="13" s="1"/>
  <c r="D1026" i="13" s="1"/>
  <c r="E157" i="13"/>
  <c r="F157" i="13" s="1"/>
  <c r="D158" i="13" s="1"/>
  <c r="E592" i="13"/>
  <c r="F592" i="13" s="1"/>
  <c r="D593" i="13" s="1"/>
  <c r="E505" i="13"/>
  <c r="F505" i="13" s="1"/>
  <c r="D506" i="13" s="1"/>
  <c r="G505" i="13"/>
  <c r="E940" i="13"/>
  <c r="F940" i="13" s="1"/>
  <c r="D941" i="13" s="1"/>
  <c r="E244" i="13"/>
  <c r="F244" i="13" s="1"/>
  <c r="D245" i="13" s="1"/>
  <c r="E766" i="13"/>
  <c r="F766" i="13" s="1"/>
  <c r="D767" i="13" s="1"/>
  <c r="E853" i="13"/>
  <c r="F853" i="13" s="1"/>
  <c r="D854" i="13" s="1"/>
  <c r="E418" i="13"/>
  <c r="F418" i="13" s="1"/>
  <c r="D419" i="13" s="1"/>
  <c r="G591" i="13"/>
  <c r="G243" i="13"/>
  <c r="E679" i="13"/>
  <c r="F679" i="13" s="1"/>
  <c r="D680" i="13" s="1"/>
  <c r="G940" i="13" l="1"/>
  <c r="G1025" i="13"/>
  <c r="G331" i="13"/>
  <c r="G418" i="13"/>
  <c r="E767" i="13"/>
  <c r="F767" i="13" s="1"/>
  <c r="D768" i="13" s="1"/>
  <c r="G767" i="13"/>
  <c r="E593" i="13"/>
  <c r="F593" i="13" s="1"/>
  <c r="D594" i="13" s="1"/>
  <c r="G244" i="13"/>
  <c r="G157" i="13"/>
  <c r="E245" i="13"/>
  <c r="F245" i="13" s="1"/>
  <c r="D246" i="13" s="1"/>
  <c r="E680" i="13"/>
  <c r="F680" i="13" s="1"/>
  <c r="D681" i="13" s="1"/>
  <c r="E419" i="13"/>
  <c r="F419" i="13" s="1"/>
  <c r="D420" i="13" s="1"/>
  <c r="G419" i="13"/>
  <c r="E941" i="13"/>
  <c r="F941" i="13" s="1"/>
  <c r="D942" i="13" s="1"/>
  <c r="E1026" i="13"/>
  <c r="F1026" i="13" s="1"/>
  <c r="D1027" i="13" s="1"/>
  <c r="G853" i="13"/>
  <c r="E854" i="13"/>
  <c r="F854" i="13" s="1"/>
  <c r="D855" i="13" s="1"/>
  <c r="G854" i="13"/>
  <c r="E506" i="13"/>
  <c r="F506" i="13" s="1"/>
  <c r="D507" i="13" s="1"/>
  <c r="G506" i="13"/>
  <c r="E158" i="13"/>
  <c r="F158" i="13" s="1"/>
  <c r="D159" i="13" s="1"/>
  <c r="G679" i="13"/>
  <c r="G766" i="13"/>
  <c r="G592" i="13"/>
  <c r="E332" i="13"/>
  <c r="F332" i="13" s="1"/>
  <c r="D333" i="13" s="1"/>
  <c r="G332" i="13"/>
  <c r="G680" i="13" l="1"/>
  <c r="G593" i="13"/>
  <c r="G1026" i="13"/>
  <c r="G245" i="13"/>
  <c r="G158" i="13"/>
  <c r="E1027" i="13"/>
  <c r="F1027" i="13"/>
  <c r="D1028" i="13" s="1"/>
  <c r="E246" i="13"/>
  <c r="E247" i="13" s="1"/>
  <c r="G941" i="13"/>
  <c r="E507" i="13"/>
  <c r="E508" i="13" s="1"/>
  <c r="E942" i="13"/>
  <c r="E943" i="13" s="1"/>
  <c r="E333" i="13"/>
  <c r="E334" i="13" s="1"/>
  <c r="F333" i="13"/>
  <c r="G333" i="13" s="1"/>
  <c r="E420" i="13"/>
  <c r="E421" i="13" s="1"/>
  <c r="E594" i="13"/>
  <c r="E595" i="13" s="1"/>
  <c r="E159" i="13"/>
  <c r="E160" i="13" s="1"/>
  <c r="E855" i="13"/>
  <c r="E856" i="13" s="1"/>
  <c r="E681" i="13"/>
  <c r="E682" i="13" s="1"/>
  <c r="E768" i="13"/>
  <c r="E769" i="13" s="1"/>
  <c r="G1027" i="13" l="1"/>
  <c r="F942" i="13"/>
  <c r="G942" i="13" s="1"/>
  <c r="F855" i="13"/>
  <c r="G855" i="13" s="1"/>
  <c r="F246" i="13"/>
  <c r="G246" i="13" s="1"/>
  <c r="F681" i="13"/>
  <c r="G681" i="13" s="1"/>
  <c r="F420" i="13"/>
  <c r="G420" i="13" s="1"/>
  <c r="F159" i="13"/>
  <c r="G159" i="13" s="1"/>
  <c r="E1028" i="13"/>
  <c r="F1028" i="13" s="1"/>
  <c r="D1029" i="13" s="1"/>
  <c r="F768" i="13"/>
  <c r="G768" i="13" s="1"/>
  <c r="F594" i="13"/>
  <c r="G594" i="13" s="1"/>
  <c r="F507" i="13"/>
  <c r="G507" i="13" s="1"/>
  <c r="G1028" i="13" l="1"/>
  <c r="E1029" i="13"/>
  <c r="E1030" i="13" s="1"/>
  <c r="F1029" i="13"/>
  <c r="G1029" i="13" s="1"/>
  <c r="D26" i="37" l="1"/>
  <c r="J26" i="37"/>
  <c r="J35" i="37" s="1"/>
  <c r="R35" i="37"/>
  <c r="E41" i="5" l="1"/>
  <c r="F27" i="37"/>
  <c r="E43" i="5"/>
  <c r="I43" i="5" s="1"/>
  <c r="G26" i="37"/>
  <c r="D27" i="37" l="1"/>
  <c r="F35" i="37"/>
  <c r="E44" i="5"/>
  <c r="I41" i="5"/>
  <c r="I44" i="5" l="1"/>
  <c r="L89" i="2" s="1"/>
  <c r="L91" i="2" s="1"/>
  <c r="L112" i="2" s="1"/>
  <c r="G89" i="2"/>
  <c r="G91" i="2" s="1"/>
  <c r="G112" i="2" s="1"/>
  <c r="G183" i="2" s="1"/>
  <c r="G177" i="2" s="1"/>
  <c r="G181" i="2" s="1"/>
  <c r="G191" i="2" s="1"/>
  <c r="G27" i="37"/>
  <c r="G35" i="37" s="1"/>
  <c r="D35" i="37"/>
  <c r="E28" i="13" l="1"/>
  <c r="E30" i="13" s="1"/>
  <c r="F28" i="20"/>
  <c r="F30" i="20" s="1"/>
  <c r="L183" i="2"/>
  <c r="G56" i="20" l="1"/>
  <c r="F34" i="20"/>
  <c r="F36" i="20" s="1"/>
  <c r="F40" i="20" s="1"/>
  <c r="L177" i="2"/>
  <c r="L181" i="2" s="1"/>
  <c r="F50" i="13" s="1"/>
  <c r="F49" i="13"/>
  <c r="G49" i="20"/>
  <c r="F56" i="13"/>
  <c r="E34" i="13"/>
  <c r="E36" i="13" s="1"/>
  <c r="E40" i="13" s="1"/>
  <c r="F57" i="13" s="1"/>
  <c r="L191" i="2" l="1"/>
  <c r="L13" i="2" s="1"/>
  <c r="F47" i="13"/>
  <c r="F51" i="13" s="1"/>
  <c r="F55" i="13" s="1"/>
  <c r="F58" i="13" s="1"/>
  <c r="L18" i="2"/>
  <c r="G47" i="20"/>
  <c r="L27" i="2"/>
  <c r="L28" i="2" s="1"/>
  <c r="L34" i="2"/>
  <c r="L31" i="2"/>
  <c r="G57" i="20"/>
  <c r="G50" i="20"/>
  <c r="G70" i="20" l="1"/>
  <c r="F70" i="13"/>
  <c r="G51" i="20"/>
  <c r="G55" i="20" s="1"/>
  <c r="G58" i="20" s="1"/>
  <c r="F60" i="13"/>
  <c r="F68" i="13" s="1"/>
  <c r="F69" i="13" s="1"/>
  <c r="F71" i="13" s="1"/>
  <c r="F65" i="13"/>
  <c r="F66" i="13" s="1"/>
  <c r="G60" i="20" l="1"/>
  <c r="G68" i="20" s="1"/>
  <c r="G69" i="20" s="1"/>
  <c r="G71" i="20" s="1"/>
  <c r="G65" i="20"/>
  <c r="G66" i="20" s="1"/>
  <c r="J443" i="13"/>
  <c r="J95" i="13"/>
  <c r="J965" i="13"/>
  <c r="J530" i="13"/>
  <c r="J356" i="13"/>
  <c r="J878" i="13"/>
  <c r="J704" i="13"/>
  <c r="J617" i="13"/>
  <c r="J791" i="13"/>
  <c r="J269" i="13"/>
  <c r="J182" i="13"/>
  <c r="I454" i="20"/>
  <c r="I455" i="20" s="1"/>
  <c r="I364" i="20"/>
  <c r="I365" i="20" s="1"/>
  <c r="I810" i="20"/>
  <c r="I811" i="20" s="1"/>
  <c r="I275" i="20"/>
  <c r="I276" i="20" s="1"/>
  <c r="I721" i="20"/>
  <c r="I722" i="20" s="1"/>
  <c r="I632" i="20"/>
  <c r="I633" i="20" s="1"/>
  <c r="I186" i="20"/>
  <c r="I187" i="20" s="1"/>
  <c r="I901" i="20"/>
  <c r="I902" i="20" s="1"/>
  <c r="I96" i="20"/>
  <c r="I543" i="20"/>
  <c r="I544" i="20" s="1"/>
  <c r="H898" i="13" l="1"/>
  <c r="H883" i="13"/>
  <c r="H939" i="13"/>
  <c r="H920" i="13"/>
  <c r="H935" i="13"/>
  <c r="H936" i="13"/>
  <c r="H934" i="13"/>
  <c r="H908" i="13"/>
  <c r="H904" i="13"/>
  <c r="H894" i="13"/>
  <c r="H912" i="13"/>
  <c r="H903" i="13"/>
  <c r="H930" i="13"/>
  <c r="H885" i="13"/>
  <c r="H915" i="13"/>
  <c r="H921" i="13"/>
  <c r="H932" i="13"/>
  <c r="H890" i="13"/>
  <c r="H922" i="13"/>
  <c r="H901" i="13"/>
  <c r="H899" i="13"/>
  <c r="H902" i="13"/>
  <c r="H884" i="13"/>
  <c r="H931" i="13"/>
  <c r="H895" i="13"/>
  <c r="H928" i="13"/>
  <c r="H900" i="13"/>
  <c r="H919" i="13"/>
  <c r="H918" i="13"/>
  <c r="H941" i="13"/>
  <c r="H906" i="13"/>
  <c r="H917" i="13"/>
  <c r="H886" i="13"/>
  <c r="M886" i="13" s="1"/>
  <c r="H923" i="13"/>
  <c r="H924" i="13"/>
  <c r="H942" i="13"/>
  <c r="H927" i="13"/>
  <c r="H937" i="13"/>
  <c r="H938" i="13"/>
  <c r="H916" i="13"/>
  <c r="H907" i="13"/>
  <c r="H910" i="13"/>
  <c r="H929" i="13"/>
  <c r="H896" i="13"/>
  <c r="H913" i="13"/>
  <c r="H925" i="13"/>
  <c r="H940" i="13"/>
  <c r="H911" i="13"/>
  <c r="H905" i="13"/>
  <c r="H887" i="13"/>
  <c r="M887" i="13" s="1"/>
  <c r="H926" i="13"/>
  <c r="H914" i="13"/>
  <c r="H893" i="13"/>
  <c r="H891" i="13"/>
  <c r="H909" i="13"/>
  <c r="H933" i="13"/>
  <c r="H892" i="13"/>
  <c r="H888" i="13"/>
  <c r="M888" i="13" s="1"/>
  <c r="H889" i="13"/>
  <c r="J879" i="13"/>
  <c r="H897" i="13"/>
  <c r="H394" i="13"/>
  <c r="H401" i="13"/>
  <c r="H403" i="13"/>
  <c r="H371" i="13"/>
  <c r="H367" i="13"/>
  <c r="M367" i="13" s="1"/>
  <c r="H380" i="13"/>
  <c r="H377" i="13"/>
  <c r="H375" i="13"/>
  <c r="H387" i="13"/>
  <c r="H402" i="13"/>
  <c r="H370" i="13"/>
  <c r="H390" i="13"/>
  <c r="H362" i="13"/>
  <c r="M362" i="13" s="1"/>
  <c r="H361" i="13"/>
  <c r="H382" i="13"/>
  <c r="H385" i="13"/>
  <c r="H411" i="13"/>
  <c r="H416" i="13"/>
  <c r="H405" i="13"/>
  <c r="H420" i="13"/>
  <c r="H374" i="13"/>
  <c r="H381" i="13"/>
  <c r="H404" i="13"/>
  <c r="H400" i="13"/>
  <c r="H413" i="13"/>
  <c r="H412" i="13"/>
  <c r="H379" i="13"/>
  <c r="H408" i="13"/>
  <c r="H409" i="13"/>
  <c r="H365" i="13"/>
  <c r="M365" i="13" s="1"/>
  <c r="H395" i="13"/>
  <c r="H415" i="13"/>
  <c r="H368" i="13"/>
  <c r="M368" i="13" s="1"/>
  <c r="H418" i="13"/>
  <c r="H391" i="13"/>
  <c r="H363" i="13"/>
  <c r="M363" i="13" s="1"/>
  <c r="H399" i="13"/>
  <c r="H393" i="13"/>
  <c r="H419" i="13"/>
  <c r="H392" i="13"/>
  <c r="H398" i="13"/>
  <c r="H372" i="13"/>
  <c r="H384" i="13"/>
  <c r="H383" i="13"/>
  <c r="H410" i="13"/>
  <c r="H397" i="13"/>
  <c r="H366" i="13"/>
  <c r="M366" i="13" s="1"/>
  <c r="H378" i="13"/>
  <c r="H407" i="13"/>
  <c r="H389" i="13"/>
  <c r="H406" i="13"/>
  <c r="H417" i="13"/>
  <c r="H386" i="13"/>
  <c r="H373" i="13"/>
  <c r="H388" i="13"/>
  <c r="H396" i="13"/>
  <c r="H364" i="13"/>
  <c r="M364" i="13" s="1"/>
  <c r="H369" i="13"/>
  <c r="H376" i="13"/>
  <c r="J357" i="13"/>
  <c r="H414" i="13"/>
  <c r="H240" i="13"/>
  <c r="H212" i="13"/>
  <c r="H205" i="13"/>
  <c r="H236" i="13"/>
  <c r="H188" i="13"/>
  <c r="M188" i="13" s="1"/>
  <c r="H235" i="13"/>
  <c r="H243" i="13"/>
  <c r="H203" i="13"/>
  <c r="H222" i="13"/>
  <c r="H228" i="13"/>
  <c r="H198" i="13"/>
  <c r="H194" i="13"/>
  <c r="M194" i="13" s="1"/>
  <c r="H213" i="13"/>
  <c r="H225" i="13"/>
  <c r="H207" i="13"/>
  <c r="H206" i="13"/>
  <c r="H246" i="13"/>
  <c r="H230" i="13"/>
  <c r="H231" i="13"/>
  <c r="H211" i="13"/>
  <c r="H196" i="13"/>
  <c r="H219" i="13"/>
  <c r="H232" i="13"/>
  <c r="H210" i="13"/>
  <c r="H209" i="13"/>
  <c r="H195" i="13"/>
  <c r="M195" i="13" s="1"/>
  <c r="H226" i="13"/>
  <c r="H241" i="13"/>
  <c r="H208" i="13"/>
  <c r="H200" i="13"/>
  <c r="H187" i="13"/>
  <c r="H201" i="13"/>
  <c r="H191" i="13"/>
  <c r="M191" i="13" s="1"/>
  <c r="H221" i="13"/>
  <c r="H234" i="13"/>
  <c r="H224" i="13"/>
  <c r="H244" i="13"/>
  <c r="H192" i="13"/>
  <c r="M192" i="13" s="1"/>
  <c r="H204" i="13"/>
  <c r="H215" i="13"/>
  <c r="H220" i="13"/>
  <c r="H202" i="13"/>
  <c r="H227" i="13"/>
  <c r="H223" i="13"/>
  <c r="H239" i="13"/>
  <c r="H242" i="13"/>
  <c r="H217" i="13"/>
  <c r="H229" i="13"/>
  <c r="H233" i="13"/>
  <c r="J183" i="13"/>
  <c r="H238" i="13"/>
  <c r="H193" i="13"/>
  <c r="M193" i="13" s="1"/>
  <c r="H190" i="13"/>
  <c r="M190" i="13" s="1"/>
  <c r="H189" i="13"/>
  <c r="M189" i="13" s="1"/>
  <c r="H245" i="13"/>
  <c r="H197" i="13"/>
  <c r="H218" i="13"/>
  <c r="H214" i="13"/>
  <c r="H237" i="13"/>
  <c r="H199" i="13"/>
  <c r="H216" i="13"/>
  <c r="H976" i="13"/>
  <c r="H970" i="13"/>
  <c r="H987" i="13"/>
  <c r="H1017" i="13"/>
  <c r="H1008" i="13"/>
  <c r="H1010" i="13"/>
  <c r="H1014" i="13"/>
  <c r="H995" i="13"/>
  <c r="H991" i="13"/>
  <c r="H1029" i="13"/>
  <c r="H1021" i="13"/>
  <c r="H989" i="13"/>
  <c r="H1007" i="13"/>
  <c r="H972" i="13"/>
  <c r="H975" i="13"/>
  <c r="M975" i="13" s="1"/>
  <c r="P975" i="13" s="1"/>
  <c r="H1000" i="13"/>
  <c r="H1006" i="13"/>
  <c r="H1005" i="13"/>
  <c r="H996" i="13"/>
  <c r="H984" i="13"/>
  <c r="H1018" i="13"/>
  <c r="H977" i="13"/>
  <c r="H1001" i="13"/>
  <c r="J966" i="13"/>
  <c r="H982" i="13"/>
  <c r="H993" i="13"/>
  <c r="H990" i="13"/>
  <c r="H1027" i="13"/>
  <c r="H1026" i="13"/>
  <c r="H983" i="13"/>
  <c r="H985" i="13"/>
  <c r="H1011" i="13"/>
  <c r="H994" i="13"/>
  <c r="H1020" i="13"/>
  <c r="H998" i="13"/>
  <c r="H1013" i="13"/>
  <c r="H1016" i="13"/>
  <c r="H1002" i="13"/>
  <c r="H978" i="13"/>
  <c r="H1004" i="13"/>
  <c r="H1009" i="13"/>
  <c r="H999" i="13"/>
  <c r="H1022" i="13"/>
  <c r="H1012" i="13"/>
  <c r="H992" i="13"/>
  <c r="H1023" i="13"/>
  <c r="H1019" i="13"/>
  <c r="H980" i="13"/>
  <c r="H1024" i="13"/>
  <c r="H973" i="13"/>
  <c r="M973" i="13" s="1"/>
  <c r="P973" i="13" s="1"/>
  <c r="H971" i="13"/>
  <c r="H979" i="13"/>
  <c r="H988" i="13"/>
  <c r="H981" i="13"/>
  <c r="H1003" i="13"/>
  <c r="H1025" i="13"/>
  <c r="H1015" i="13"/>
  <c r="H1028" i="13"/>
  <c r="H974" i="13"/>
  <c r="M974" i="13" s="1"/>
  <c r="P974" i="13" s="1"/>
  <c r="H997" i="13"/>
  <c r="H986" i="13"/>
  <c r="H312" i="13"/>
  <c r="H316" i="13"/>
  <c r="H332" i="13"/>
  <c r="H328" i="13"/>
  <c r="H288" i="13"/>
  <c r="H291" i="13"/>
  <c r="H308" i="13"/>
  <c r="H324" i="13"/>
  <c r="H274" i="13"/>
  <c r="H292" i="13"/>
  <c r="H327" i="13"/>
  <c r="H286" i="13"/>
  <c r="H278" i="13"/>
  <c r="M278" i="13" s="1"/>
  <c r="H322" i="13"/>
  <c r="H276" i="13"/>
  <c r="M276" i="13" s="1"/>
  <c r="H287" i="13"/>
  <c r="J270" i="13"/>
  <c r="H281" i="13"/>
  <c r="M281" i="13" s="1"/>
  <c r="H293" i="13"/>
  <c r="H298" i="13"/>
  <c r="H317" i="13"/>
  <c r="H280" i="13"/>
  <c r="M280" i="13" s="1"/>
  <c r="H290" i="13"/>
  <c r="H300" i="13"/>
  <c r="H282" i="13"/>
  <c r="M282" i="13" s="1"/>
  <c r="H325" i="13"/>
  <c r="H305" i="13"/>
  <c r="H309" i="13"/>
  <c r="H289" i="13"/>
  <c r="H297" i="13"/>
  <c r="H283" i="13"/>
  <c r="H313" i="13"/>
  <c r="H315" i="13"/>
  <c r="H321" i="13"/>
  <c r="H333" i="13"/>
  <c r="H285" i="13"/>
  <c r="H279" i="13"/>
  <c r="M279" i="13" s="1"/>
  <c r="H331" i="13"/>
  <c r="H302" i="13"/>
  <c r="H275" i="13"/>
  <c r="M275" i="13" s="1"/>
  <c r="H318" i="13"/>
  <c r="H294" i="13"/>
  <c r="H314" i="13"/>
  <c r="H323" i="13"/>
  <c r="H296" i="13"/>
  <c r="H303" i="13"/>
  <c r="H330" i="13"/>
  <c r="H295" i="13"/>
  <c r="H277" i="13"/>
  <c r="M277" i="13" s="1"/>
  <c r="H301" i="13"/>
  <c r="H326" i="13"/>
  <c r="H284" i="13"/>
  <c r="H304" i="13"/>
  <c r="H329" i="13"/>
  <c r="H310" i="13"/>
  <c r="H299" i="13"/>
  <c r="H320" i="13"/>
  <c r="H306" i="13"/>
  <c r="H319" i="13"/>
  <c r="H311" i="13"/>
  <c r="H307" i="13"/>
  <c r="H144" i="13"/>
  <c r="H158" i="13"/>
  <c r="H151" i="13"/>
  <c r="H121" i="13"/>
  <c r="H128" i="13"/>
  <c r="H126" i="13"/>
  <c r="H149" i="13"/>
  <c r="H104" i="13"/>
  <c r="M104" i="13" s="1"/>
  <c r="H136" i="13"/>
  <c r="H112" i="13"/>
  <c r="H113" i="13"/>
  <c r="H111" i="13"/>
  <c r="H147" i="13"/>
  <c r="H159" i="13"/>
  <c r="H103" i="13"/>
  <c r="H109" i="13"/>
  <c r="M109" i="13" s="1"/>
  <c r="H148" i="13"/>
  <c r="H157" i="13"/>
  <c r="H153" i="13"/>
  <c r="H116" i="13"/>
  <c r="H118" i="13"/>
  <c r="H110" i="13"/>
  <c r="H119" i="13"/>
  <c r="H150" i="13"/>
  <c r="H140" i="13"/>
  <c r="H132" i="13"/>
  <c r="H108" i="13"/>
  <c r="M108" i="13" s="1"/>
  <c r="H154" i="13"/>
  <c r="H115" i="13"/>
  <c r="H101" i="13"/>
  <c r="H129" i="13"/>
  <c r="H125" i="13"/>
  <c r="H122" i="13"/>
  <c r="H137" i="13"/>
  <c r="H133" i="13"/>
  <c r="H143" i="13"/>
  <c r="H152" i="13"/>
  <c r="H123" i="13"/>
  <c r="H117" i="13"/>
  <c r="H107" i="13"/>
  <c r="M107" i="13" s="1"/>
  <c r="H131" i="13"/>
  <c r="H156" i="13"/>
  <c r="H155" i="13"/>
  <c r="H120" i="13"/>
  <c r="H100" i="13"/>
  <c r="H106" i="13"/>
  <c r="M106" i="13" s="1"/>
  <c r="H142" i="13"/>
  <c r="H139" i="13"/>
  <c r="H145" i="13"/>
  <c r="H135" i="13"/>
  <c r="H102" i="13"/>
  <c r="J96" i="13"/>
  <c r="H134" i="13"/>
  <c r="H138" i="13"/>
  <c r="H105" i="13"/>
  <c r="M105" i="13" s="1"/>
  <c r="H146" i="13"/>
  <c r="H130" i="13"/>
  <c r="H124" i="13"/>
  <c r="H141" i="13"/>
  <c r="H127" i="13"/>
  <c r="H114" i="13"/>
  <c r="G328" i="20"/>
  <c r="G378" i="20"/>
  <c r="G764" i="20"/>
  <c r="G647" i="20"/>
  <c r="G910" i="20"/>
  <c r="G572" i="20"/>
  <c r="G489" i="20"/>
  <c r="G851" i="20"/>
  <c r="G224" i="20"/>
  <c r="G661" i="20"/>
  <c r="G776" i="20"/>
  <c r="G555" i="20"/>
  <c r="G462" i="20"/>
  <c r="G463" i="20"/>
  <c r="G823" i="20"/>
  <c r="G552" i="20"/>
  <c r="G280" i="20"/>
  <c r="G864" i="20"/>
  <c r="G428" i="20"/>
  <c r="G114" i="20"/>
  <c r="G579" i="20"/>
  <c r="G858" i="20"/>
  <c r="G759" i="20"/>
  <c r="G400" i="20"/>
  <c r="G833" i="20"/>
  <c r="G130" i="20"/>
  <c r="G225" i="20"/>
  <c r="G926" i="20"/>
  <c r="G374" i="20"/>
  <c r="G856" i="20"/>
  <c r="G782" i="20"/>
  <c r="G153" i="20"/>
  <c r="G151" i="20"/>
  <c r="G934" i="20"/>
  <c r="G959" i="20"/>
  <c r="G106" i="20"/>
  <c r="G233" i="20"/>
  <c r="G586" i="20"/>
  <c r="G123" i="20"/>
  <c r="G847" i="20"/>
  <c r="G853" i="20"/>
  <c r="G110" i="20"/>
  <c r="G906" i="20"/>
  <c r="G401" i="20"/>
  <c r="G951" i="20"/>
  <c r="G760" i="20"/>
  <c r="G375" i="20"/>
  <c r="G571" i="20"/>
  <c r="G197" i="20"/>
  <c r="G380" i="20"/>
  <c r="G483" i="20"/>
  <c r="G126" i="20"/>
  <c r="G249" i="20"/>
  <c r="G863" i="20"/>
  <c r="G870" i="20"/>
  <c r="G419" i="20"/>
  <c r="G591" i="20"/>
  <c r="G137" i="20"/>
  <c r="G868" i="20"/>
  <c r="G101" i="20"/>
  <c r="G236" i="20"/>
  <c r="G231" i="20"/>
  <c r="G664" i="20"/>
  <c r="G427" i="20"/>
  <c r="G842" i="20"/>
  <c r="G656" i="20"/>
  <c r="G391" i="20"/>
  <c r="G390" i="20"/>
  <c r="G117" i="20"/>
  <c r="G102" i="20"/>
  <c r="G303" i="20"/>
  <c r="G198" i="20"/>
  <c r="G103" i="20"/>
  <c r="G417" i="20"/>
  <c r="G511" i="20"/>
  <c r="G104" i="20"/>
  <c r="G320" i="20"/>
  <c r="G693" i="20"/>
  <c r="G121" i="20"/>
  <c r="G504" i="20"/>
  <c r="G149" i="20"/>
  <c r="G954" i="20"/>
  <c r="G402" i="20"/>
  <c r="G466" i="20"/>
  <c r="G857" i="20"/>
  <c r="G335" i="20"/>
  <c r="G960" i="20"/>
  <c r="G654" i="20"/>
  <c r="G955" i="20"/>
  <c r="G671" i="20"/>
  <c r="G305" i="20"/>
  <c r="G577" i="20"/>
  <c r="G116" i="20"/>
  <c r="G284" i="20"/>
  <c r="G686" i="20"/>
  <c r="G393" i="20"/>
  <c r="G679" i="20"/>
  <c r="G840" i="20"/>
  <c r="G192" i="20"/>
  <c r="G517" i="20"/>
  <c r="G201" i="20"/>
  <c r="G829" i="20"/>
  <c r="G696" i="20"/>
  <c r="G496" i="20"/>
  <c r="G657" i="20"/>
  <c r="G518" i="20"/>
  <c r="G587" i="20"/>
  <c r="G554" i="20"/>
  <c r="N535" i="20" s="1"/>
  <c r="G426" i="20"/>
  <c r="G568" i="20"/>
  <c r="G590" i="20"/>
  <c r="G339" i="20"/>
  <c r="G285" i="20"/>
  <c r="G644" i="20"/>
  <c r="G849" i="20"/>
  <c r="G395" i="20"/>
  <c r="G727" i="20"/>
  <c r="G751" i="20"/>
  <c r="G850" i="20"/>
  <c r="G752" i="20"/>
  <c r="G739" i="20"/>
  <c r="G512" i="20"/>
  <c r="G414" i="20"/>
  <c r="G326" i="20"/>
  <c r="G158" i="20"/>
  <c r="G107" i="20"/>
  <c r="G416" i="20"/>
  <c r="G604" i="20"/>
  <c r="G146" i="20"/>
  <c r="G421" i="20"/>
  <c r="G588" i="20"/>
  <c r="G772" i="20"/>
  <c r="G685" i="20"/>
  <c r="G211" i="20"/>
  <c r="G871" i="20"/>
  <c r="G492" i="20"/>
  <c r="G482" i="20"/>
  <c r="G643" i="20"/>
  <c r="N624" i="20" s="1"/>
  <c r="G606" i="20"/>
  <c r="G574" i="20"/>
  <c r="G157" i="20"/>
  <c r="G781" i="20"/>
  <c r="G564" i="20"/>
  <c r="G836" i="20"/>
  <c r="G603" i="20"/>
  <c r="G931" i="20"/>
  <c r="G946" i="20"/>
  <c r="G670" i="20"/>
  <c r="G962" i="20"/>
  <c r="G575" i="20"/>
  <c r="G381" i="20"/>
  <c r="G912" i="20"/>
  <c r="N893" i="20" s="1"/>
  <c r="G933" i="20"/>
  <c r="G600" i="20"/>
  <c r="G695" i="20"/>
  <c r="G737" i="20"/>
  <c r="G505" i="20"/>
  <c r="G949" i="20"/>
  <c r="G743" i="20"/>
  <c r="G399" i="20"/>
  <c r="G958" i="20"/>
  <c r="G500" i="20"/>
  <c r="G215" i="20"/>
  <c r="G513" i="20"/>
  <c r="G639" i="20"/>
  <c r="G377" i="20"/>
  <c r="N356" i="20" s="1"/>
  <c r="G298" i="20"/>
  <c r="G330" i="20"/>
  <c r="G105" i="20"/>
  <c r="G642" i="20"/>
  <c r="G557" i="20"/>
  <c r="G690" i="20"/>
  <c r="G424" i="20"/>
  <c r="G819" i="20"/>
  <c r="G779" i="20"/>
  <c r="G593" i="20"/>
  <c r="G563" i="20"/>
  <c r="G112" i="20"/>
  <c r="G567" i="20"/>
  <c r="G687" i="20"/>
  <c r="G387" i="20"/>
  <c r="G129" i="20"/>
  <c r="G238" i="20"/>
  <c r="G741" i="20"/>
  <c r="G956" i="20"/>
  <c r="G775" i="20"/>
  <c r="G918" i="20"/>
  <c r="G382" i="20"/>
  <c r="G673" i="20"/>
  <c r="G193" i="20"/>
  <c r="G150" i="20"/>
  <c r="G314" i="20"/>
  <c r="G474" i="20"/>
  <c r="G908" i="20"/>
  <c r="G678" i="20"/>
  <c r="G569" i="20"/>
  <c r="G475" i="20"/>
  <c r="G301" i="20"/>
  <c r="G950" i="20"/>
  <c r="G758" i="20"/>
  <c r="G553" i="20"/>
  <c r="G777" i="20"/>
  <c r="G139" i="20"/>
  <c r="G321" i="20"/>
  <c r="G844" i="20"/>
  <c r="G386" i="20"/>
  <c r="G134" i="20"/>
  <c r="G784" i="20"/>
  <c r="G855" i="20"/>
  <c r="G550" i="20"/>
  <c r="G816" i="20"/>
  <c r="G244" i="20"/>
  <c r="G734" i="20"/>
  <c r="G470" i="20"/>
  <c r="G212" i="20"/>
  <c r="G313" i="20"/>
  <c r="G297" i="20"/>
  <c r="G822" i="20"/>
  <c r="G494" i="20"/>
  <c r="G771" i="20"/>
  <c r="G246" i="20"/>
  <c r="G869" i="20"/>
  <c r="G323" i="20"/>
  <c r="G209" i="20"/>
  <c r="G780" i="20"/>
  <c r="G747" i="20"/>
  <c r="G774" i="20"/>
  <c r="G208" i="20"/>
  <c r="G292" i="20"/>
  <c r="G288" i="20"/>
  <c r="G925" i="20"/>
  <c r="G316" i="20"/>
  <c r="G961" i="20"/>
  <c r="G684" i="20"/>
  <c r="G308" i="20"/>
  <c r="G594" i="20"/>
  <c r="G749" i="20"/>
  <c r="G937" i="20"/>
  <c r="G660" i="20"/>
  <c r="G250" i="20"/>
  <c r="G835" i="20"/>
  <c r="G601" i="20"/>
  <c r="G652" i="20"/>
  <c r="G602" i="20"/>
  <c r="G766" i="20"/>
  <c r="G287" i="20"/>
  <c r="G941" i="20"/>
  <c r="G559" i="20"/>
  <c r="G817" i="20"/>
  <c r="G131" i="20"/>
  <c r="G947" i="20"/>
  <c r="G311" i="20"/>
  <c r="G930" i="20"/>
  <c r="G245" i="20"/>
  <c r="G334" i="20"/>
  <c r="G744" i="20"/>
  <c r="G144" i="20"/>
  <c r="G216" i="20"/>
  <c r="G846" i="20"/>
  <c r="G948" i="20"/>
  <c r="G915" i="20"/>
  <c r="G379" i="20"/>
  <c r="G848" i="20"/>
  <c r="G108" i="20"/>
  <c r="G599" i="20"/>
  <c r="G411" i="20"/>
  <c r="G120" i="20"/>
  <c r="G205" i="20"/>
  <c r="G408" i="20"/>
  <c r="G136" i="20"/>
  <c r="G732" i="20"/>
  <c r="N713" i="20" s="1"/>
  <c r="G818" i="20"/>
  <c r="G963" i="20"/>
  <c r="G295" i="20"/>
  <c r="G154" i="20"/>
  <c r="G300" i="20"/>
  <c r="G228" i="20"/>
  <c r="G239" i="20"/>
  <c r="G728" i="20"/>
  <c r="G914" i="20"/>
  <c r="G909" i="20"/>
  <c r="G827" i="20"/>
  <c r="G115" i="20"/>
  <c r="G327" i="20"/>
  <c r="G514" i="20"/>
  <c r="G648" i="20"/>
  <c r="G237" i="20"/>
  <c r="G222" i="20"/>
  <c r="G289" i="20"/>
  <c r="N267" i="20" s="1"/>
  <c r="G122" i="20"/>
  <c r="G562" i="20"/>
  <c r="G773" i="20"/>
  <c r="G928" i="20"/>
  <c r="G683" i="20"/>
  <c r="G516" i="20"/>
  <c r="G558" i="20"/>
  <c r="G143" i="20"/>
  <c r="G229" i="20"/>
  <c r="G592" i="20"/>
  <c r="G578" i="20"/>
  <c r="G315" i="20"/>
  <c r="G413" i="20"/>
  <c r="G916" i="20"/>
  <c r="G663" i="20"/>
  <c r="G843" i="20"/>
  <c r="G595" i="20"/>
  <c r="G509" i="20"/>
  <c r="G405" i="20"/>
  <c r="G581" i="20"/>
  <c r="G397" i="20"/>
  <c r="G837" i="20"/>
  <c r="G142" i="20"/>
  <c r="G221" i="20"/>
  <c r="G226" i="20"/>
  <c r="G394" i="20"/>
  <c r="G219" i="20"/>
  <c r="G485" i="20"/>
  <c r="G204" i="20"/>
  <c r="G418" i="20"/>
  <c r="G338" i="20"/>
  <c r="G750" i="20"/>
  <c r="G389" i="20"/>
  <c r="G317" i="20"/>
  <c r="G860" i="20"/>
  <c r="G125" i="20"/>
  <c r="G319" i="20"/>
  <c r="G862" i="20"/>
  <c r="G651" i="20"/>
  <c r="G735" i="20"/>
  <c r="G694" i="20"/>
  <c r="G218" i="20"/>
  <c r="G667" i="20"/>
  <c r="G692" i="20"/>
  <c r="G247" i="20"/>
  <c r="G854" i="20"/>
  <c r="G583" i="20"/>
  <c r="G549" i="20"/>
  <c r="G283" i="20"/>
  <c r="G821" i="20"/>
  <c r="G589" i="20"/>
  <c r="G152" i="20"/>
  <c r="G472" i="20"/>
  <c r="G191" i="20"/>
  <c r="G688" i="20"/>
  <c r="G234" i="20"/>
  <c r="G551" i="20"/>
  <c r="G478" i="20"/>
  <c r="G240" i="20"/>
  <c r="G921" i="20"/>
  <c r="G407" i="20"/>
  <c r="G762" i="20"/>
  <c r="G515" i="20"/>
  <c r="G605" i="20"/>
  <c r="G213" i="20"/>
  <c r="G828" i="20"/>
  <c r="G646" i="20"/>
  <c r="G160" i="20"/>
  <c r="G113" i="20"/>
  <c r="G199" i="20"/>
  <c r="G745" i="20"/>
  <c r="G217" i="20"/>
  <c r="G767" i="20"/>
  <c r="G499" i="20"/>
  <c r="G952" i="20"/>
  <c r="G312" i="20"/>
  <c r="G322" i="20"/>
  <c r="G637" i="20"/>
  <c r="G469" i="20"/>
  <c r="G838" i="20"/>
  <c r="G155" i="20"/>
  <c r="G936" i="20"/>
  <c r="G733" i="20"/>
  <c r="G369" i="20"/>
  <c r="G649" i="20"/>
  <c r="G388" i="20"/>
  <c r="G410" i="20"/>
  <c r="G917" i="20"/>
  <c r="G281" i="20"/>
  <c r="G641" i="20"/>
  <c r="G491" i="20"/>
  <c r="G570" i="20"/>
  <c r="G597" i="20"/>
  <c r="G460" i="20"/>
  <c r="G939" i="20"/>
  <c r="G940" i="20"/>
  <c r="G392" i="20"/>
  <c r="G124" i="20"/>
  <c r="G943" i="20"/>
  <c r="G935" i="20"/>
  <c r="G726" i="20"/>
  <c r="G645" i="20"/>
  <c r="G503" i="20"/>
  <c r="G831" i="20"/>
  <c r="G830" i="20"/>
  <c r="G565" i="20"/>
  <c r="G761" i="20"/>
  <c r="G497" i="20"/>
  <c r="G495" i="20"/>
  <c r="G290" i="20"/>
  <c r="G220" i="20"/>
  <c r="G325" i="20"/>
  <c r="G677" i="20"/>
  <c r="G638" i="20"/>
  <c r="G834" i="20"/>
  <c r="G769" i="20"/>
  <c r="G674" i="20"/>
  <c r="G318" i="20"/>
  <c r="G913" i="20"/>
  <c r="G650" i="20"/>
  <c r="G872" i="20"/>
  <c r="G560" i="20"/>
  <c r="G294" i="20"/>
  <c r="G756" i="20"/>
  <c r="G867" i="20"/>
  <c r="G785" i="20"/>
  <c r="G337" i="20"/>
  <c r="G681" i="20"/>
  <c r="G141" i="20"/>
  <c r="G680" i="20"/>
  <c r="G665" i="20"/>
  <c r="G227" i="20"/>
  <c r="G127" i="20"/>
  <c r="G768" i="20"/>
  <c r="G487" i="20"/>
  <c r="G488" i="20"/>
  <c r="G461" i="20"/>
  <c r="G203" i="20"/>
  <c r="G406" i="20"/>
  <c r="G111" i="20"/>
  <c r="N88" i="20" s="1"/>
  <c r="G757" i="20"/>
  <c r="G815" i="20"/>
  <c r="G682" i="20"/>
  <c r="G467" i="20"/>
  <c r="G510" i="20"/>
  <c r="G576" i="20"/>
  <c r="G194" i="20"/>
  <c r="G919" i="20"/>
  <c r="G573" i="20"/>
  <c r="G373" i="20"/>
  <c r="G866" i="20"/>
  <c r="G286" i="20"/>
  <c r="G306" i="20"/>
  <c r="G223" i="20"/>
  <c r="G307" i="20"/>
  <c r="G404" i="20"/>
  <c r="G248" i="20"/>
  <c r="G409" i="20"/>
  <c r="G398" i="20"/>
  <c r="G293" i="20"/>
  <c r="G859" i="20"/>
  <c r="G765" i="20"/>
  <c r="G668" i="20"/>
  <c r="G556" i="20"/>
  <c r="G841" i="20"/>
  <c r="G929" i="20"/>
  <c r="G207" i="20"/>
  <c r="G676" i="20"/>
  <c r="G861" i="20"/>
  <c r="G561" i="20"/>
  <c r="G507" i="20"/>
  <c r="G159" i="20"/>
  <c r="G371" i="20"/>
  <c r="G372" i="20"/>
  <c r="G468" i="20"/>
  <c r="G148" i="20"/>
  <c r="G945" i="20"/>
  <c r="G596" i="20"/>
  <c r="G477" i="20"/>
  <c r="G659" i="20"/>
  <c r="G506" i="20"/>
  <c r="G582" i="20"/>
  <c r="G672" i="20"/>
  <c r="G140" i="20"/>
  <c r="G459" i="20"/>
  <c r="G109" i="20"/>
  <c r="G235" i="20"/>
  <c r="G729" i="20"/>
  <c r="G580" i="20"/>
  <c r="G770" i="20"/>
  <c r="G376" i="20"/>
  <c r="G145" i="20"/>
  <c r="G607" i="20"/>
  <c r="G214" i="20"/>
  <c r="G243" i="20"/>
  <c r="G742" i="20"/>
  <c r="G832" i="20"/>
  <c r="G471" i="20"/>
  <c r="G740" i="20"/>
  <c r="G669" i="20"/>
  <c r="G420" i="20"/>
  <c r="G874" i="20"/>
  <c r="G299" i="20"/>
  <c r="G922" i="20"/>
  <c r="G331" i="20"/>
  <c r="G689" i="20"/>
  <c r="G753" i="20"/>
  <c r="G655" i="20"/>
  <c r="G826" i="20"/>
  <c r="G731" i="20"/>
  <c r="G310" i="20"/>
  <c r="G736" i="20"/>
  <c r="G324" i="20"/>
  <c r="G329" i="20"/>
  <c r="G370" i="20"/>
  <c r="G584" i="20"/>
  <c r="G754" i="20"/>
  <c r="G566" i="20"/>
  <c r="G942" i="20"/>
  <c r="G396" i="20"/>
  <c r="G128" i="20"/>
  <c r="G412" i="20"/>
  <c r="G464" i="20"/>
  <c r="G820" i="20"/>
  <c r="N802" i="20" s="1"/>
  <c r="G662" i="20"/>
  <c r="G501" i="20"/>
  <c r="G953" i="20"/>
  <c r="I97" i="20"/>
  <c r="G675" i="20"/>
  <c r="G924" i="20"/>
  <c r="G304" i="20"/>
  <c r="G332" i="20"/>
  <c r="G493" i="20"/>
  <c r="G481" i="20"/>
  <c r="G465" i="20"/>
  <c r="N446" i="20" s="1"/>
  <c r="G938" i="20"/>
  <c r="G666" i="20"/>
  <c r="G873" i="20"/>
  <c r="G133" i="20"/>
  <c r="G132" i="20"/>
  <c r="G845" i="20"/>
  <c r="G333" i="20"/>
  <c r="G476" i="20"/>
  <c r="G965" i="20"/>
  <c r="G232" i="20"/>
  <c r="G691" i="20"/>
  <c r="G156" i="20"/>
  <c r="G242" i="20"/>
  <c r="G336" i="20"/>
  <c r="G473" i="20"/>
  <c r="G502" i="20"/>
  <c r="G927" i="20"/>
  <c r="G302" i="20"/>
  <c r="G748" i="20"/>
  <c r="G291" i="20"/>
  <c r="G210" i="20"/>
  <c r="G755" i="20"/>
  <c r="G783" i="20"/>
  <c r="G852" i="20"/>
  <c r="G964" i="20"/>
  <c r="G484" i="20"/>
  <c r="G425" i="20"/>
  <c r="G415" i="20"/>
  <c r="G423" i="20"/>
  <c r="G548" i="20"/>
  <c r="G763" i="20"/>
  <c r="G195" i="20"/>
  <c r="G746" i="20"/>
  <c r="G508" i="20"/>
  <c r="G200" i="20"/>
  <c r="N178" i="20" s="1"/>
  <c r="G385" i="20"/>
  <c r="G640" i="20"/>
  <c r="G653" i="20"/>
  <c r="G865" i="20"/>
  <c r="G957" i="20"/>
  <c r="G738" i="20"/>
  <c r="G384" i="20"/>
  <c r="G498" i="20"/>
  <c r="G920" i="20"/>
  <c r="G196" i="20"/>
  <c r="G135" i="20"/>
  <c r="G730" i="20"/>
  <c r="G778" i="20"/>
  <c r="G202" i="20"/>
  <c r="G911" i="20"/>
  <c r="G230" i="20"/>
  <c r="G206" i="20"/>
  <c r="G383" i="20"/>
  <c r="G824" i="20"/>
  <c r="G658" i="20"/>
  <c r="G825" i="20"/>
  <c r="G309" i="20"/>
  <c r="G486" i="20"/>
  <c r="G585" i="20"/>
  <c r="G403" i="20"/>
  <c r="G923" i="20"/>
  <c r="G282" i="20"/>
  <c r="G119" i="20"/>
  <c r="G118" i="20"/>
  <c r="G839" i="20"/>
  <c r="G944" i="20"/>
  <c r="G147" i="20"/>
  <c r="G480" i="20"/>
  <c r="G422" i="20"/>
  <c r="G296" i="20"/>
  <c r="G907" i="20"/>
  <c r="G598" i="20"/>
  <c r="G241" i="20"/>
  <c r="G479" i="20"/>
  <c r="G932" i="20"/>
  <c r="G490" i="20"/>
  <c r="G138" i="20"/>
  <c r="H538" i="13"/>
  <c r="M538" i="13" s="1"/>
  <c r="H585" i="13"/>
  <c r="H573" i="13"/>
  <c r="H587" i="13"/>
  <c r="H593" i="13"/>
  <c r="H540" i="13"/>
  <c r="M540" i="13" s="1"/>
  <c r="H575" i="13"/>
  <c r="H547" i="13"/>
  <c r="J531" i="13"/>
  <c r="H583" i="13"/>
  <c r="H536" i="13"/>
  <c r="M536" i="13" s="1"/>
  <c r="H562" i="13"/>
  <c r="H555" i="13"/>
  <c r="H586" i="13"/>
  <c r="H554" i="13"/>
  <c r="H591" i="13"/>
  <c r="H552" i="13"/>
  <c r="H566" i="13"/>
  <c r="H572" i="13"/>
  <c r="H551" i="13"/>
  <c r="H569" i="13"/>
  <c r="H564" i="13"/>
  <c r="H548" i="13"/>
  <c r="H580" i="13"/>
  <c r="H582" i="13"/>
  <c r="H565" i="13"/>
  <c r="H581" i="13"/>
  <c r="H558" i="13"/>
  <c r="H592" i="13"/>
  <c r="H576" i="13"/>
  <c r="H594" i="13"/>
  <c r="H568" i="13"/>
  <c r="H542" i="13"/>
  <c r="H588" i="13"/>
  <c r="H553" i="13"/>
  <c r="H574" i="13"/>
  <c r="H579" i="13"/>
  <c r="H544" i="13"/>
  <c r="H535" i="13"/>
  <c r="H556" i="13"/>
  <c r="H590" i="13"/>
  <c r="H549" i="13"/>
  <c r="H577" i="13"/>
  <c r="H541" i="13"/>
  <c r="H571" i="13"/>
  <c r="H567" i="13"/>
  <c r="H546" i="13"/>
  <c r="H560" i="13"/>
  <c r="H561" i="13"/>
  <c r="H563" i="13"/>
  <c r="H537" i="13"/>
  <c r="M537" i="13" s="1"/>
  <c r="H539" i="13"/>
  <c r="M539" i="13" s="1"/>
  <c r="H557" i="13"/>
  <c r="H570" i="13"/>
  <c r="H584" i="13"/>
  <c r="H545" i="13"/>
  <c r="H550" i="13"/>
  <c r="H589" i="13"/>
  <c r="H578" i="13"/>
  <c r="H559" i="13"/>
  <c r="H543" i="13"/>
  <c r="H821" i="13"/>
  <c r="H846" i="13"/>
  <c r="H830" i="13"/>
  <c r="H840" i="13"/>
  <c r="H796" i="13"/>
  <c r="H807" i="13"/>
  <c r="H831" i="13"/>
  <c r="H832" i="13"/>
  <c r="H804" i="13"/>
  <c r="H841" i="13"/>
  <c r="H852" i="13"/>
  <c r="H829" i="13"/>
  <c r="H798" i="13"/>
  <c r="M798" i="13" s="1"/>
  <c r="H848" i="13"/>
  <c r="H814" i="13"/>
  <c r="J792" i="13"/>
  <c r="H825" i="13"/>
  <c r="H824" i="13"/>
  <c r="H802" i="13"/>
  <c r="H815" i="13"/>
  <c r="H799" i="13"/>
  <c r="M799" i="13" s="1"/>
  <c r="H839" i="13"/>
  <c r="H822" i="13"/>
  <c r="H806" i="13"/>
  <c r="H834" i="13"/>
  <c r="H844" i="13"/>
  <c r="H812" i="13"/>
  <c r="H800" i="13"/>
  <c r="M800" i="13" s="1"/>
  <c r="H826" i="13"/>
  <c r="H808" i="13"/>
  <c r="H816" i="13"/>
  <c r="H805" i="13"/>
  <c r="H838" i="13"/>
  <c r="H827" i="13"/>
  <c r="H842" i="13"/>
  <c r="H809" i="13"/>
  <c r="H836" i="13"/>
  <c r="H828" i="13"/>
  <c r="H849" i="13"/>
  <c r="H837" i="13"/>
  <c r="H813" i="13"/>
  <c r="H847" i="13"/>
  <c r="H851" i="13"/>
  <c r="H855" i="13"/>
  <c r="H854" i="13"/>
  <c r="H817" i="13"/>
  <c r="H843" i="13"/>
  <c r="H820" i="13"/>
  <c r="H811" i="13"/>
  <c r="H823" i="13"/>
  <c r="H818" i="13"/>
  <c r="H850" i="13"/>
  <c r="H819" i="13"/>
  <c r="H810" i="13"/>
  <c r="H853" i="13"/>
  <c r="H845" i="13"/>
  <c r="H801" i="13"/>
  <c r="H797" i="13"/>
  <c r="M797" i="13" s="1"/>
  <c r="H803" i="13"/>
  <c r="H835" i="13"/>
  <c r="H833" i="13"/>
  <c r="H464" i="13"/>
  <c r="H467" i="13"/>
  <c r="H489" i="13"/>
  <c r="H506" i="13"/>
  <c r="H502" i="13"/>
  <c r="H457" i="13"/>
  <c r="H466" i="13"/>
  <c r="H462" i="13"/>
  <c r="H461" i="13"/>
  <c r="H501" i="13"/>
  <c r="H449" i="13"/>
  <c r="M449" i="13" s="1"/>
  <c r="H478" i="13"/>
  <c r="H450" i="13"/>
  <c r="M450" i="13" s="1"/>
  <c r="H452" i="13"/>
  <c r="M452" i="13" s="1"/>
  <c r="H492" i="13"/>
  <c r="H460" i="13"/>
  <c r="H484" i="13"/>
  <c r="H505" i="13"/>
  <c r="H499" i="13"/>
  <c r="H448" i="13"/>
  <c r="H463" i="13"/>
  <c r="H497" i="13"/>
  <c r="H468" i="13"/>
  <c r="H490" i="13"/>
  <c r="H486" i="13"/>
  <c r="H493" i="13"/>
  <c r="H495" i="13"/>
  <c r="H456" i="13"/>
  <c r="J444" i="13"/>
  <c r="H494" i="13"/>
  <c r="H473" i="13"/>
  <c r="H485" i="13"/>
  <c r="H472" i="13"/>
  <c r="H480" i="13"/>
  <c r="H481" i="13"/>
  <c r="H507" i="13"/>
  <c r="H469" i="13"/>
  <c r="H500" i="13"/>
  <c r="H496" i="13"/>
  <c r="H459" i="13"/>
  <c r="H476" i="13"/>
  <c r="H451" i="13"/>
  <c r="M451" i="13" s="1"/>
  <c r="H504" i="13"/>
  <c r="H474" i="13"/>
  <c r="H477" i="13"/>
  <c r="H470" i="13"/>
  <c r="H455" i="13"/>
  <c r="H454" i="13"/>
  <c r="H503" i="13"/>
  <c r="H475" i="13"/>
  <c r="H488" i="13"/>
  <c r="H487" i="13"/>
  <c r="H483" i="13"/>
  <c r="H458" i="13"/>
  <c r="H471" i="13"/>
  <c r="H498" i="13"/>
  <c r="H453" i="13"/>
  <c r="M453" i="13" s="1"/>
  <c r="H465" i="13"/>
  <c r="H479" i="13"/>
  <c r="H482" i="13"/>
  <c r="H491" i="13"/>
  <c r="H658" i="13"/>
  <c r="H643" i="13"/>
  <c r="H645" i="13"/>
  <c r="H646" i="13"/>
  <c r="H662" i="13"/>
  <c r="H660" i="13"/>
  <c r="H652" i="13"/>
  <c r="H659" i="13"/>
  <c r="H680" i="13"/>
  <c r="H642" i="13"/>
  <c r="H661" i="13"/>
  <c r="J618" i="13"/>
  <c r="H674" i="13"/>
  <c r="H672" i="13"/>
  <c r="H677" i="13"/>
  <c r="H650" i="13"/>
  <c r="H627" i="13"/>
  <c r="M627" i="13" s="1"/>
  <c r="H649" i="13"/>
  <c r="H656" i="13"/>
  <c r="H675" i="13"/>
  <c r="H631" i="13"/>
  <c r="H657" i="13"/>
  <c r="H641" i="13"/>
  <c r="H678" i="13"/>
  <c r="H622" i="13"/>
  <c r="H637" i="13"/>
  <c r="H632" i="13"/>
  <c r="H676" i="13"/>
  <c r="H664" i="13"/>
  <c r="H647" i="13"/>
  <c r="H633" i="13"/>
  <c r="H673" i="13"/>
  <c r="H651" i="13"/>
  <c r="H634" i="13"/>
  <c r="H671" i="13"/>
  <c r="H663" i="13"/>
  <c r="H679" i="13"/>
  <c r="H628" i="13"/>
  <c r="H670" i="13"/>
  <c r="H626" i="13"/>
  <c r="M626" i="13" s="1"/>
  <c r="H667" i="13"/>
  <c r="H630" i="13"/>
  <c r="H654" i="13"/>
  <c r="H635" i="13"/>
  <c r="H653" i="13"/>
  <c r="H629" i="13"/>
  <c r="H668" i="13"/>
  <c r="H655" i="13"/>
  <c r="H636" i="13"/>
  <c r="H644" i="13"/>
  <c r="H639" i="13"/>
  <c r="H623" i="13"/>
  <c r="M623" i="13" s="1"/>
  <c r="H625" i="13"/>
  <c r="M625" i="13" s="1"/>
  <c r="H648" i="13"/>
  <c r="H638" i="13"/>
  <c r="H666" i="13"/>
  <c r="H681" i="13"/>
  <c r="H669" i="13"/>
  <c r="H665" i="13"/>
  <c r="H624" i="13"/>
  <c r="M624" i="13" s="1"/>
  <c r="H640" i="13"/>
  <c r="H728" i="13"/>
  <c r="H765" i="13"/>
  <c r="H766" i="13"/>
  <c r="H713" i="13"/>
  <c r="M713" i="13" s="1"/>
  <c r="H723" i="13"/>
  <c r="H748" i="13"/>
  <c r="H721" i="13"/>
  <c r="H744" i="13"/>
  <c r="H760" i="13"/>
  <c r="H710" i="13"/>
  <c r="M710" i="13" s="1"/>
  <c r="H719" i="13"/>
  <c r="H751" i="13"/>
  <c r="H716" i="13"/>
  <c r="H732" i="13"/>
  <c r="H734" i="13"/>
  <c r="H768" i="13"/>
  <c r="H746" i="13"/>
  <c r="H745" i="13"/>
  <c r="H712" i="13"/>
  <c r="M712" i="13" s="1"/>
  <c r="H764" i="13"/>
  <c r="H733" i="13"/>
  <c r="H749" i="13"/>
  <c r="H759" i="13"/>
  <c r="H762" i="13"/>
  <c r="J705" i="13"/>
  <c r="H722" i="13"/>
  <c r="H738" i="13"/>
  <c r="H727" i="13"/>
  <c r="H758" i="13"/>
  <c r="H736" i="13"/>
  <c r="H715" i="13"/>
  <c r="H752" i="13"/>
  <c r="H731" i="13"/>
  <c r="H735" i="13"/>
  <c r="H754" i="13"/>
  <c r="H755" i="13"/>
  <c r="H717" i="13"/>
  <c r="H729" i="13"/>
  <c r="H742" i="13"/>
  <c r="H756" i="13"/>
  <c r="H720" i="13"/>
  <c r="H725" i="13"/>
  <c r="H737" i="13"/>
  <c r="H711" i="13"/>
  <c r="M711" i="13" s="1"/>
  <c r="H718" i="13"/>
  <c r="H730" i="13"/>
  <c r="H714" i="13"/>
  <c r="M714" i="13" s="1"/>
  <c r="H747" i="13"/>
  <c r="H753" i="13"/>
  <c r="H726" i="13"/>
  <c r="H767" i="13"/>
  <c r="H741" i="13"/>
  <c r="H743" i="13"/>
  <c r="H763" i="13"/>
  <c r="H750" i="13"/>
  <c r="H740" i="13"/>
  <c r="H739" i="13"/>
  <c r="H724" i="13"/>
  <c r="H709" i="13"/>
  <c r="H761" i="13"/>
  <c r="H757" i="13"/>
  <c r="H160" i="13" l="1"/>
  <c r="M709" i="13"/>
  <c r="H769" i="13"/>
  <c r="I486" i="13"/>
  <c r="J486" i="13" s="1"/>
  <c r="I499" i="13"/>
  <c r="J499" i="13" s="1"/>
  <c r="I451" i="13"/>
  <c r="I478" i="13"/>
  <c r="J478" i="13" s="1"/>
  <c r="I472" i="13"/>
  <c r="J472" i="13" s="1"/>
  <c r="I483" i="13"/>
  <c r="J483" i="13" s="1"/>
  <c r="I460" i="13"/>
  <c r="J460" i="13" s="1"/>
  <c r="I457" i="13"/>
  <c r="J457" i="13" s="1"/>
  <c r="I459" i="13"/>
  <c r="J459" i="13" s="1"/>
  <c r="I493" i="13"/>
  <c r="J493" i="13" s="1"/>
  <c r="I496" i="13"/>
  <c r="J496" i="13" s="1"/>
  <c r="I468" i="13"/>
  <c r="J468" i="13" s="1"/>
  <c r="I491" i="13"/>
  <c r="J491" i="13" s="1"/>
  <c r="I497" i="13"/>
  <c r="J497" i="13" s="1"/>
  <c r="I456" i="13"/>
  <c r="J456" i="13" s="1"/>
  <c r="I489" i="13"/>
  <c r="J489" i="13" s="1"/>
  <c r="I487" i="13"/>
  <c r="J487" i="13" s="1"/>
  <c r="I450" i="13"/>
  <c r="I474" i="13"/>
  <c r="J474" i="13" s="1"/>
  <c r="I470" i="13"/>
  <c r="J470" i="13" s="1"/>
  <c r="I466" i="13"/>
  <c r="J466" i="13" s="1"/>
  <c r="I503" i="13"/>
  <c r="J503" i="13" s="1"/>
  <c r="I480" i="13"/>
  <c r="J480" i="13" s="1"/>
  <c r="I477" i="13"/>
  <c r="J477" i="13" s="1"/>
  <c r="I473" i="13"/>
  <c r="J473" i="13" s="1"/>
  <c r="I449" i="13"/>
  <c r="I501" i="13"/>
  <c r="J501" i="13" s="1"/>
  <c r="I455" i="13"/>
  <c r="J455" i="13" s="1"/>
  <c r="I507" i="13"/>
  <c r="J507" i="13" s="1"/>
  <c r="I484" i="13"/>
  <c r="J484" i="13" s="1"/>
  <c r="I465" i="13"/>
  <c r="J465" i="13" s="1"/>
  <c r="I467" i="13"/>
  <c r="J467" i="13" s="1"/>
  <c r="I505" i="13"/>
  <c r="J505" i="13" s="1"/>
  <c r="I506" i="13"/>
  <c r="J506" i="13" s="1"/>
  <c r="I500" i="13"/>
  <c r="J500" i="13" s="1"/>
  <c r="I502" i="13"/>
  <c r="J502" i="13" s="1"/>
  <c r="I476" i="13"/>
  <c r="J476" i="13" s="1"/>
  <c r="I461" i="13"/>
  <c r="J461" i="13" s="1"/>
  <c r="I469" i="13"/>
  <c r="J469" i="13" s="1"/>
  <c r="I458" i="13"/>
  <c r="J458" i="13" s="1"/>
  <c r="I452" i="13"/>
  <c r="I464" i="13"/>
  <c r="J464" i="13" s="1"/>
  <c r="I475" i="13"/>
  <c r="J475" i="13" s="1"/>
  <c r="I498" i="13"/>
  <c r="J498" i="13" s="1"/>
  <c r="I462" i="13"/>
  <c r="J462" i="13" s="1"/>
  <c r="I488" i="13"/>
  <c r="J488" i="13" s="1"/>
  <c r="I453" i="13"/>
  <c r="I482" i="13"/>
  <c r="J482" i="13" s="1"/>
  <c r="I479" i="13"/>
  <c r="J479" i="13" s="1"/>
  <c r="I471" i="13"/>
  <c r="J471" i="13" s="1"/>
  <c r="I454" i="13"/>
  <c r="I448" i="13"/>
  <c r="I504" i="13"/>
  <c r="J504" i="13" s="1"/>
  <c r="I485" i="13"/>
  <c r="J485" i="13" s="1"/>
  <c r="I492" i="13"/>
  <c r="J492" i="13" s="1"/>
  <c r="I494" i="13"/>
  <c r="J494" i="13" s="1"/>
  <c r="I495" i="13"/>
  <c r="J495" i="13" s="1"/>
  <c r="I490" i="13"/>
  <c r="J490" i="13" s="1"/>
  <c r="I463" i="13"/>
  <c r="J463" i="13" s="1"/>
  <c r="I481" i="13"/>
  <c r="J481" i="13" s="1"/>
  <c r="I563" i="13"/>
  <c r="J563" i="13" s="1"/>
  <c r="I544" i="13"/>
  <c r="J544" i="13" s="1"/>
  <c r="I586" i="13"/>
  <c r="J586" i="13" s="1"/>
  <c r="I560" i="13"/>
  <c r="J560" i="13" s="1"/>
  <c r="I569" i="13"/>
  <c r="J569" i="13" s="1"/>
  <c r="I564" i="13"/>
  <c r="J564" i="13" s="1"/>
  <c r="I540" i="13"/>
  <c r="I562" i="13"/>
  <c r="J562" i="13" s="1"/>
  <c r="I553" i="13"/>
  <c r="J553" i="13" s="1"/>
  <c r="I548" i="13"/>
  <c r="J548" i="13" s="1"/>
  <c r="I591" i="13"/>
  <c r="J591" i="13" s="1"/>
  <c r="I550" i="13"/>
  <c r="J550" i="13" s="1"/>
  <c r="I556" i="13"/>
  <c r="J556" i="13" s="1"/>
  <c r="I572" i="13"/>
  <c r="J572" i="13" s="1"/>
  <c r="I541" i="13"/>
  <c r="I565" i="13"/>
  <c r="J565" i="13" s="1"/>
  <c r="I574" i="13"/>
  <c r="J574" i="13" s="1"/>
  <c r="I594" i="13"/>
  <c r="J594" i="13" s="1"/>
  <c r="I542" i="13"/>
  <c r="J542" i="13" s="1"/>
  <c r="I584" i="13"/>
  <c r="J584" i="13" s="1"/>
  <c r="I549" i="13"/>
  <c r="J549" i="13" s="1"/>
  <c r="I546" i="13"/>
  <c r="J546" i="13" s="1"/>
  <c r="I536" i="13"/>
  <c r="I543" i="13"/>
  <c r="J543" i="13" s="1"/>
  <c r="I558" i="13"/>
  <c r="J558" i="13" s="1"/>
  <c r="I581" i="13"/>
  <c r="J581" i="13" s="1"/>
  <c r="I592" i="13"/>
  <c r="J592" i="13" s="1"/>
  <c r="I567" i="13"/>
  <c r="J567" i="13" s="1"/>
  <c r="I587" i="13"/>
  <c r="J587" i="13" s="1"/>
  <c r="I555" i="13"/>
  <c r="J555" i="13" s="1"/>
  <c r="I538" i="13"/>
  <c r="I579" i="13"/>
  <c r="J579" i="13" s="1"/>
  <c r="I580" i="13"/>
  <c r="J580" i="13" s="1"/>
  <c r="I582" i="13"/>
  <c r="J582" i="13" s="1"/>
  <c r="I551" i="13"/>
  <c r="J551" i="13" s="1"/>
  <c r="I575" i="13"/>
  <c r="J575" i="13" s="1"/>
  <c r="I568" i="13"/>
  <c r="J568" i="13" s="1"/>
  <c r="I590" i="13"/>
  <c r="J590" i="13" s="1"/>
  <c r="I552" i="13"/>
  <c r="J552" i="13" s="1"/>
  <c r="I577" i="13"/>
  <c r="J577" i="13" s="1"/>
  <c r="I561" i="13"/>
  <c r="J561" i="13" s="1"/>
  <c r="I539" i="13"/>
  <c r="I566" i="13"/>
  <c r="J566" i="13" s="1"/>
  <c r="I571" i="13"/>
  <c r="J571" i="13" s="1"/>
  <c r="I557" i="13"/>
  <c r="J557" i="13" s="1"/>
  <c r="I583" i="13"/>
  <c r="J583" i="13" s="1"/>
  <c r="I559" i="13"/>
  <c r="J559" i="13" s="1"/>
  <c r="I588" i="13"/>
  <c r="J588" i="13" s="1"/>
  <c r="I570" i="13"/>
  <c r="J570" i="13" s="1"/>
  <c r="I547" i="13"/>
  <c r="J547" i="13" s="1"/>
  <c r="I578" i="13"/>
  <c r="J578" i="13" s="1"/>
  <c r="I576" i="13"/>
  <c r="J576" i="13" s="1"/>
  <c r="I535" i="13"/>
  <c r="I589" i="13"/>
  <c r="J589" i="13" s="1"/>
  <c r="I545" i="13"/>
  <c r="J545" i="13" s="1"/>
  <c r="I573" i="13"/>
  <c r="J573" i="13" s="1"/>
  <c r="I537" i="13"/>
  <c r="I585" i="13"/>
  <c r="J585" i="13" s="1"/>
  <c r="I554" i="13"/>
  <c r="J554" i="13" s="1"/>
  <c r="I593" i="13"/>
  <c r="J593" i="13" s="1"/>
  <c r="G608" i="20"/>
  <c r="G519" i="20"/>
  <c r="M622" i="13"/>
  <c r="H682" i="13"/>
  <c r="G340" i="20"/>
  <c r="M110" i="13"/>
  <c r="M89" i="13"/>
  <c r="I1019" i="13"/>
  <c r="J1019" i="13" s="1"/>
  <c r="I1010" i="13"/>
  <c r="J1010" i="13" s="1"/>
  <c r="I980" i="13"/>
  <c r="J980" i="13" s="1"/>
  <c r="I1003" i="13"/>
  <c r="J1003" i="13" s="1"/>
  <c r="I975" i="13"/>
  <c r="J975" i="13" s="1"/>
  <c r="I973" i="13"/>
  <c r="J973" i="13" s="1"/>
  <c r="I1007" i="13"/>
  <c r="J1007" i="13" s="1"/>
  <c r="I1002" i="13"/>
  <c r="J1002" i="13" s="1"/>
  <c r="I991" i="13"/>
  <c r="J991" i="13" s="1"/>
  <c r="I992" i="13"/>
  <c r="J992" i="13" s="1"/>
  <c r="I999" i="13"/>
  <c r="J999" i="13" s="1"/>
  <c r="I1017" i="13"/>
  <c r="J1017" i="13" s="1"/>
  <c r="I989" i="13"/>
  <c r="J989" i="13" s="1"/>
  <c r="I993" i="13"/>
  <c r="J993" i="13" s="1"/>
  <c r="I1001" i="13"/>
  <c r="J1001" i="13" s="1"/>
  <c r="I1004" i="13"/>
  <c r="J1004" i="13" s="1"/>
  <c r="I1029" i="13"/>
  <c r="J1029" i="13" s="1"/>
  <c r="I1023" i="13"/>
  <c r="J1023" i="13" s="1"/>
  <c r="I971" i="13"/>
  <c r="J971" i="13" s="1"/>
  <c r="I1018" i="13"/>
  <c r="J1018" i="13" s="1"/>
  <c r="I995" i="13"/>
  <c r="J995" i="13" s="1"/>
  <c r="I1026" i="13"/>
  <c r="J1026" i="13" s="1"/>
  <c r="I977" i="13"/>
  <c r="J977" i="13" s="1"/>
  <c r="I1022" i="13"/>
  <c r="J1022" i="13" s="1"/>
  <c r="I976" i="13"/>
  <c r="J976" i="13" s="1"/>
  <c r="I1000" i="13"/>
  <c r="J1000" i="13" s="1"/>
  <c r="I978" i="13"/>
  <c r="J978" i="13" s="1"/>
  <c r="I997" i="13"/>
  <c r="J997" i="13" s="1"/>
  <c r="I1005" i="13"/>
  <c r="J1005" i="13" s="1"/>
  <c r="I984" i="13"/>
  <c r="J984" i="13" s="1"/>
  <c r="I996" i="13"/>
  <c r="J996" i="13" s="1"/>
  <c r="I981" i="13"/>
  <c r="J981" i="13" s="1"/>
  <c r="I1028" i="13"/>
  <c r="J1028" i="13" s="1"/>
  <c r="I1013" i="13"/>
  <c r="J1013" i="13" s="1"/>
  <c r="I1025" i="13"/>
  <c r="J1025" i="13" s="1"/>
  <c r="I994" i="13"/>
  <c r="J994" i="13" s="1"/>
  <c r="I1006" i="13"/>
  <c r="J1006" i="13" s="1"/>
  <c r="I1008" i="13"/>
  <c r="J1008" i="13" s="1"/>
  <c r="I1016" i="13"/>
  <c r="J1016" i="13" s="1"/>
  <c r="I1009" i="13"/>
  <c r="J1009" i="13" s="1"/>
  <c r="I986" i="13"/>
  <c r="J986" i="13" s="1"/>
  <c r="I1014" i="13"/>
  <c r="J1014" i="13" s="1"/>
  <c r="I1027" i="13"/>
  <c r="J1027" i="13" s="1"/>
  <c r="I974" i="13"/>
  <c r="J974" i="13" s="1"/>
  <c r="I988" i="13"/>
  <c r="J988" i="13" s="1"/>
  <c r="I1012" i="13"/>
  <c r="J1012" i="13" s="1"/>
  <c r="I990" i="13"/>
  <c r="J990" i="13" s="1"/>
  <c r="I982" i="13"/>
  <c r="J982" i="13" s="1"/>
  <c r="I983" i="13"/>
  <c r="J983" i="13" s="1"/>
  <c r="I1021" i="13"/>
  <c r="J1021" i="13" s="1"/>
  <c r="I987" i="13"/>
  <c r="J987" i="13" s="1"/>
  <c r="I972" i="13"/>
  <c r="J972" i="13" s="1"/>
  <c r="I1024" i="13"/>
  <c r="J1024" i="13" s="1"/>
  <c r="I985" i="13"/>
  <c r="J985" i="13" s="1"/>
  <c r="I979" i="13"/>
  <c r="J979" i="13" s="1"/>
  <c r="I1011" i="13"/>
  <c r="J1011" i="13" s="1"/>
  <c r="I1020" i="13"/>
  <c r="J1020" i="13" s="1"/>
  <c r="I970" i="13"/>
  <c r="I998" i="13"/>
  <c r="J998" i="13" s="1"/>
  <c r="I1015" i="13"/>
  <c r="J1015" i="13" s="1"/>
  <c r="M176" i="13"/>
  <c r="M177" i="13" s="1"/>
  <c r="M196" i="13"/>
  <c r="M369" i="13"/>
  <c r="M350" i="13"/>
  <c r="M351" i="13" s="1"/>
  <c r="H595" i="13"/>
  <c r="M535" i="13"/>
  <c r="M448" i="13"/>
  <c r="H508" i="13"/>
  <c r="M801" i="13"/>
  <c r="M785" i="13"/>
  <c r="M786" i="13" s="1"/>
  <c r="G875" i="20"/>
  <c r="G697" i="20"/>
  <c r="G251" i="20"/>
  <c r="I102" i="13"/>
  <c r="J102" i="13" s="1"/>
  <c r="I125" i="13"/>
  <c r="J125" i="13" s="1"/>
  <c r="I153" i="13"/>
  <c r="J153" i="13" s="1"/>
  <c r="I148" i="13"/>
  <c r="J148" i="13" s="1"/>
  <c r="I121" i="13"/>
  <c r="J121" i="13" s="1"/>
  <c r="I123" i="13"/>
  <c r="J123" i="13" s="1"/>
  <c r="I120" i="13"/>
  <c r="J120" i="13" s="1"/>
  <c r="I114" i="13"/>
  <c r="J114" i="13" s="1"/>
  <c r="I105" i="13"/>
  <c r="I134" i="13"/>
  <c r="J134" i="13" s="1"/>
  <c r="I157" i="13"/>
  <c r="J157" i="13" s="1"/>
  <c r="I104" i="13"/>
  <c r="I156" i="13"/>
  <c r="J156" i="13" s="1"/>
  <c r="I131" i="13"/>
  <c r="J131" i="13" s="1"/>
  <c r="I122" i="13"/>
  <c r="J122" i="13" s="1"/>
  <c r="I127" i="13"/>
  <c r="J127" i="13" s="1"/>
  <c r="I132" i="13"/>
  <c r="J132" i="13" s="1"/>
  <c r="I128" i="13"/>
  <c r="J128" i="13" s="1"/>
  <c r="I144" i="13"/>
  <c r="J144" i="13" s="1"/>
  <c r="I140" i="13"/>
  <c r="J140" i="13" s="1"/>
  <c r="I139" i="13"/>
  <c r="J139" i="13" s="1"/>
  <c r="I158" i="13"/>
  <c r="J158" i="13" s="1"/>
  <c r="I130" i="13"/>
  <c r="J130" i="13" s="1"/>
  <c r="I152" i="13"/>
  <c r="J152" i="13" s="1"/>
  <c r="I116" i="13"/>
  <c r="J116" i="13" s="1"/>
  <c r="I112" i="13"/>
  <c r="J112" i="13" s="1"/>
  <c r="I108" i="13"/>
  <c r="I155" i="13"/>
  <c r="J155" i="13" s="1"/>
  <c r="I124" i="13"/>
  <c r="J124" i="13" s="1"/>
  <c r="I154" i="13"/>
  <c r="J154" i="13" s="1"/>
  <c r="I101" i="13"/>
  <c r="J101" i="13" s="1"/>
  <c r="I159" i="13"/>
  <c r="J159" i="13" s="1"/>
  <c r="I119" i="13"/>
  <c r="J119" i="13" s="1"/>
  <c r="I115" i="13"/>
  <c r="J115" i="13" s="1"/>
  <c r="I111" i="13"/>
  <c r="J111" i="13" s="1"/>
  <c r="I135" i="13"/>
  <c r="J135" i="13" s="1"/>
  <c r="I150" i="13"/>
  <c r="J150" i="13" s="1"/>
  <c r="I146" i="13"/>
  <c r="J146" i="13" s="1"/>
  <c r="I110" i="13"/>
  <c r="I106" i="13"/>
  <c r="I151" i="13"/>
  <c r="J151" i="13" s="1"/>
  <c r="I145" i="13"/>
  <c r="J145" i="13" s="1"/>
  <c r="I149" i="13"/>
  <c r="J149" i="13" s="1"/>
  <c r="I113" i="13"/>
  <c r="J113" i="13" s="1"/>
  <c r="I147" i="13"/>
  <c r="J147" i="13" s="1"/>
  <c r="I138" i="13"/>
  <c r="J138" i="13" s="1"/>
  <c r="I117" i="13"/>
  <c r="J117" i="13" s="1"/>
  <c r="I141" i="13"/>
  <c r="J141" i="13" s="1"/>
  <c r="I129" i="13"/>
  <c r="J129" i="13" s="1"/>
  <c r="I143" i="13"/>
  <c r="J143" i="13" s="1"/>
  <c r="I107" i="13"/>
  <c r="I137" i="13"/>
  <c r="J137" i="13" s="1"/>
  <c r="I118" i="13"/>
  <c r="J118" i="13" s="1"/>
  <c r="I103" i="13"/>
  <c r="J103" i="13" s="1"/>
  <c r="I126" i="13"/>
  <c r="J126" i="13" s="1"/>
  <c r="I133" i="13"/>
  <c r="J133" i="13" s="1"/>
  <c r="I136" i="13"/>
  <c r="J136" i="13" s="1"/>
  <c r="I100" i="13"/>
  <c r="I142" i="13"/>
  <c r="J142" i="13" s="1"/>
  <c r="I109" i="13"/>
  <c r="I280" i="13"/>
  <c r="I284" i="13"/>
  <c r="J284" i="13" s="1"/>
  <c r="I326" i="13"/>
  <c r="J326" i="13" s="1"/>
  <c r="I299" i="13"/>
  <c r="J299" i="13" s="1"/>
  <c r="I296" i="13"/>
  <c r="J296" i="13" s="1"/>
  <c r="I319" i="13"/>
  <c r="J319" i="13" s="1"/>
  <c r="I283" i="13"/>
  <c r="I298" i="13"/>
  <c r="J298" i="13" s="1"/>
  <c r="I288" i="13"/>
  <c r="J288" i="13" s="1"/>
  <c r="I281" i="13"/>
  <c r="I311" i="13"/>
  <c r="J311" i="13" s="1"/>
  <c r="I307" i="13"/>
  <c r="J307" i="13" s="1"/>
  <c r="I297" i="13"/>
  <c r="J297" i="13" s="1"/>
  <c r="I330" i="13"/>
  <c r="J330" i="13" s="1"/>
  <c r="I295" i="13"/>
  <c r="J295" i="13" s="1"/>
  <c r="I293" i="13"/>
  <c r="J293" i="13" s="1"/>
  <c r="I328" i="13"/>
  <c r="J328" i="13" s="1"/>
  <c r="I291" i="13"/>
  <c r="J291" i="13" s="1"/>
  <c r="I317" i="13"/>
  <c r="J317" i="13" s="1"/>
  <c r="I282" i="13"/>
  <c r="I329" i="13"/>
  <c r="J329" i="13" s="1"/>
  <c r="I320" i="13"/>
  <c r="J320" i="13" s="1"/>
  <c r="I287" i="13"/>
  <c r="J287" i="13" s="1"/>
  <c r="I308" i="13"/>
  <c r="J308" i="13" s="1"/>
  <c r="I324" i="13"/>
  <c r="J324" i="13" s="1"/>
  <c r="I276" i="13"/>
  <c r="I286" i="13"/>
  <c r="J286" i="13" s="1"/>
  <c r="I333" i="13"/>
  <c r="J333" i="13" s="1"/>
  <c r="I325" i="13"/>
  <c r="J325" i="13" s="1"/>
  <c r="I292" i="13"/>
  <c r="J292" i="13" s="1"/>
  <c r="I310" i="13"/>
  <c r="J310" i="13" s="1"/>
  <c r="I289" i="13"/>
  <c r="J289" i="13" s="1"/>
  <c r="I278" i="13"/>
  <c r="I275" i="13"/>
  <c r="I331" i="13"/>
  <c r="J331" i="13" s="1"/>
  <c r="I306" i="13"/>
  <c r="J306" i="13" s="1"/>
  <c r="I323" i="13"/>
  <c r="J323" i="13" s="1"/>
  <c r="I314" i="13"/>
  <c r="J314" i="13" s="1"/>
  <c r="I321" i="13"/>
  <c r="J321" i="13" s="1"/>
  <c r="I300" i="13"/>
  <c r="J300" i="13" s="1"/>
  <c r="I304" i="13"/>
  <c r="J304" i="13" s="1"/>
  <c r="I313" i="13"/>
  <c r="J313" i="13" s="1"/>
  <c r="I316" i="13"/>
  <c r="J316" i="13" s="1"/>
  <c r="I294" i="13"/>
  <c r="J294" i="13" s="1"/>
  <c r="I309" i="13"/>
  <c r="J309" i="13" s="1"/>
  <c r="I302" i="13"/>
  <c r="J302" i="13" s="1"/>
  <c r="I327" i="13"/>
  <c r="J327" i="13" s="1"/>
  <c r="I312" i="13"/>
  <c r="J312" i="13" s="1"/>
  <c r="I277" i="13"/>
  <c r="I305" i="13"/>
  <c r="J305" i="13" s="1"/>
  <c r="I285" i="13"/>
  <c r="J285" i="13" s="1"/>
  <c r="I322" i="13"/>
  <c r="J322" i="13" s="1"/>
  <c r="I274" i="13"/>
  <c r="I332" i="13"/>
  <c r="J332" i="13" s="1"/>
  <c r="I290" i="13"/>
  <c r="J290" i="13" s="1"/>
  <c r="I301" i="13"/>
  <c r="J301" i="13" s="1"/>
  <c r="I318" i="13"/>
  <c r="J318" i="13" s="1"/>
  <c r="I279" i="13"/>
  <c r="I303" i="13"/>
  <c r="J303" i="13" s="1"/>
  <c r="I315" i="13"/>
  <c r="J315" i="13" s="1"/>
  <c r="M274" i="13"/>
  <c r="H334" i="13"/>
  <c r="I718" i="13"/>
  <c r="J718" i="13" s="1"/>
  <c r="I727" i="13"/>
  <c r="J727" i="13" s="1"/>
  <c r="I724" i="13"/>
  <c r="J724" i="13" s="1"/>
  <c r="I759" i="13"/>
  <c r="J759" i="13" s="1"/>
  <c r="I754" i="13"/>
  <c r="J754" i="13" s="1"/>
  <c r="I756" i="13"/>
  <c r="J756" i="13" s="1"/>
  <c r="I723" i="13"/>
  <c r="J723" i="13" s="1"/>
  <c r="I764" i="13"/>
  <c r="J764" i="13" s="1"/>
  <c r="I714" i="13"/>
  <c r="I734" i="13"/>
  <c r="J734" i="13" s="1"/>
  <c r="I760" i="13"/>
  <c r="J760" i="13" s="1"/>
  <c r="I743" i="13"/>
  <c r="J743" i="13" s="1"/>
  <c r="I739" i="13"/>
  <c r="J739" i="13" s="1"/>
  <c r="I738" i="13"/>
  <c r="J738" i="13" s="1"/>
  <c r="I728" i="13"/>
  <c r="J728" i="13" s="1"/>
  <c r="I761" i="13"/>
  <c r="J761" i="13" s="1"/>
  <c r="I766" i="13"/>
  <c r="J766" i="13" s="1"/>
  <c r="I731" i="13"/>
  <c r="J731" i="13" s="1"/>
  <c r="I709" i="13"/>
  <c r="I767" i="13"/>
  <c r="J767" i="13" s="1"/>
  <c r="I716" i="13"/>
  <c r="J716" i="13" s="1"/>
  <c r="I740" i="13"/>
  <c r="J740" i="13" s="1"/>
  <c r="I742" i="13"/>
  <c r="J742" i="13" s="1"/>
  <c r="I725" i="13"/>
  <c r="J725" i="13" s="1"/>
  <c r="I765" i="13"/>
  <c r="J765" i="13" s="1"/>
  <c r="I715" i="13"/>
  <c r="I736" i="13"/>
  <c r="J736" i="13" s="1"/>
  <c r="I768" i="13"/>
  <c r="J768" i="13" s="1"/>
  <c r="I733" i="13"/>
  <c r="J733" i="13" s="1"/>
  <c r="I722" i="13"/>
  <c r="J722" i="13" s="1"/>
  <c r="I729" i="13"/>
  <c r="J729" i="13" s="1"/>
  <c r="I737" i="13"/>
  <c r="J737" i="13" s="1"/>
  <c r="I755" i="13"/>
  <c r="J755" i="13" s="1"/>
  <c r="I744" i="13"/>
  <c r="J744" i="13" s="1"/>
  <c r="I711" i="13"/>
  <c r="I713" i="13"/>
  <c r="I717" i="13"/>
  <c r="J717" i="13" s="1"/>
  <c r="I719" i="13"/>
  <c r="J719" i="13" s="1"/>
  <c r="I750" i="13"/>
  <c r="J750" i="13" s="1"/>
  <c r="I720" i="13"/>
  <c r="J720" i="13" s="1"/>
  <c r="I758" i="13"/>
  <c r="J758" i="13" s="1"/>
  <c r="I732" i="13"/>
  <c r="J732" i="13" s="1"/>
  <c r="I710" i="13"/>
  <c r="I763" i="13"/>
  <c r="J763" i="13" s="1"/>
  <c r="I735" i="13"/>
  <c r="J735" i="13" s="1"/>
  <c r="I712" i="13"/>
  <c r="I745" i="13"/>
  <c r="J745" i="13" s="1"/>
  <c r="I762" i="13"/>
  <c r="J762" i="13" s="1"/>
  <c r="I741" i="13"/>
  <c r="J741" i="13" s="1"/>
  <c r="I752" i="13"/>
  <c r="J752" i="13" s="1"/>
  <c r="I721" i="13"/>
  <c r="J721" i="13" s="1"/>
  <c r="I757" i="13"/>
  <c r="J757" i="13" s="1"/>
  <c r="I751" i="13"/>
  <c r="J751" i="13" s="1"/>
  <c r="I726" i="13"/>
  <c r="J726" i="13" s="1"/>
  <c r="I748" i="13"/>
  <c r="J748" i="13" s="1"/>
  <c r="I753" i="13"/>
  <c r="J753" i="13" s="1"/>
  <c r="I730" i="13"/>
  <c r="J730" i="13" s="1"/>
  <c r="I747" i="13"/>
  <c r="J747" i="13" s="1"/>
  <c r="I746" i="13"/>
  <c r="J746" i="13" s="1"/>
  <c r="I749" i="13"/>
  <c r="J749" i="13" s="1"/>
  <c r="I852" i="13"/>
  <c r="J852" i="13" s="1"/>
  <c r="I796" i="13"/>
  <c r="I808" i="13"/>
  <c r="J808" i="13" s="1"/>
  <c r="I833" i="13"/>
  <c r="J833" i="13" s="1"/>
  <c r="I829" i="13"/>
  <c r="J829" i="13" s="1"/>
  <c r="I826" i="13"/>
  <c r="J826" i="13" s="1"/>
  <c r="I801" i="13"/>
  <c r="I803" i="13"/>
  <c r="J803" i="13" s="1"/>
  <c r="I842" i="13"/>
  <c r="J842" i="13" s="1"/>
  <c r="I830" i="13"/>
  <c r="J830" i="13" s="1"/>
  <c r="I853" i="13"/>
  <c r="J853" i="13" s="1"/>
  <c r="I817" i="13"/>
  <c r="J817" i="13" s="1"/>
  <c r="I828" i="13"/>
  <c r="J828" i="13" s="1"/>
  <c r="I837" i="13"/>
  <c r="J837" i="13" s="1"/>
  <c r="I818" i="13"/>
  <c r="J818" i="13" s="1"/>
  <c r="I851" i="13"/>
  <c r="J851" i="13" s="1"/>
  <c r="I810" i="13"/>
  <c r="J810" i="13" s="1"/>
  <c r="I835" i="13"/>
  <c r="J835" i="13" s="1"/>
  <c r="I848" i="13"/>
  <c r="J848" i="13" s="1"/>
  <c r="I855" i="13"/>
  <c r="J855" i="13" s="1"/>
  <c r="I840" i="13"/>
  <c r="J840" i="13" s="1"/>
  <c r="I814" i="13"/>
  <c r="J814" i="13" s="1"/>
  <c r="I838" i="13"/>
  <c r="J838" i="13" s="1"/>
  <c r="I827" i="13"/>
  <c r="J827" i="13" s="1"/>
  <c r="I845" i="13"/>
  <c r="J845" i="13" s="1"/>
  <c r="I804" i="13"/>
  <c r="J804" i="13" s="1"/>
  <c r="I849" i="13"/>
  <c r="J849" i="13" s="1"/>
  <c r="I807" i="13"/>
  <c r="J807" i="13" s="1"/>
  <c r="I850" i="13"/>
  <c r="J850" i="13" s="1"/>
  <c r="I843" i="13"/>
  <c r="J843" i="13" s="1"/>
  <c r="I821" i="13"/>
  <c r="J821" i="13" s="1"/>
  <c r="I813" i="13"/>
  <c r="J813" i="13" s="1"/>
  <c r="I815" i="13"/>
  <c r="J815" i="13" s="1"/>
  <c r="I839" i="13"/>
  <c r="J839" i="13" s="1"/>
  <c r="I834" i="13"/>
  <c r="J834" i="13" s="1"/>
  <c r="I831" i="13"/>
  <c r="J831" i="13" s="1"/>
  <c r="I816" i="13"/>
  <c r="J816" i="13" s="1"/>
  <c r="I806" i="13"/>
  <c r="J806" i="13" s="1"/>
  <c r="I799" i="13"/>
  <c r="I820" i="13"/>
  <c r="J820" i="13" s="1"/>
  <c r="I824" i="13"/>
  <c r="J824" i="13" s="1"/>
  <c r="I797" i="13"/>
  <c r="I847" i="13"/>
  <c r="J847" i="13" s="1"/>
  <c r="I841" i="13"/>
  <c r="J841" i="13" s="1"/>
  <c r="I800" i="13"/>
  <c r="I811" i="13"/>
  <c r="J811" i="13" s="1"/>
  <c r="I812" i="13"/>
  <c r="J812" i="13" s="1"/>
  <c r="I846" i="13"/>
  <c r="J846" i="13" s="1"/>
  <c r="I832" i="13"/>
  <c r="J832" i="13" s="1"/>
  <c r="I844" i="13"/>
  <c r="J844" i="13" s="1"/>
  <c r="I819" i="13"/>
  <c r="J819" i="13" s="1"/>
  <c r="I822" i="13"/>
  <c r="J822" i="13" s="1"/>
  <c r="I854" i="13"/>
  <c r="J854" i="13" s="1"/>
  <c r="I809" i="13"/>
  <c r="J809" i="13" s="1"/>
  <c r="I798" i="13"/>
  <c r="I805" i="13"/>
  <c r="J805" i="13" s="1"/>
  <c r="I802" i="13"/>
  <c r="J802" i="13" s="1"/>
  <c r="I825" i="13"/>
  <c r="J825" i="13" s="1"/>
  <c r="I836" i="13"/>
  <c r="J836" i="13" s="1"/>
  <c r="I823" i="13"/>
  <c r="J823" i="13" s="1"/>
  <c r="G786" i="20"/>
  <c r="I196" i="13"/>
  <c r="I212" i="13"/>
  <c r="J212" i="13" s="1"/>
  <c r="I225" i="13"/>
  <c r="J225" i="13" s="1"/>
  <c r="I188" i="13"/>
  <c r="I233" i="13"/>
  <c r="J233" i="13" s="1"/>
  <c r="I231" i="13"/>
  <c r="J231" i="13" s="1"/>
  <c r="I218" i="13"/>
  <c r="J218" i="13" s="1"/>
  <c r="I204" i="13"/>
  <c r="J204" i="13" s="1"/>
  <c r="I203" i="13"/>
  <c r="J203" i="13" s="1"/>
  <c r="I234" i="13"/>
  <c r="J234" i="13" s="1"/>
  <c r="I229" i="13"/>
  <c r="J229" i="13" s="1"/>
  <c r="I199" i="13"/>
  <c r="J199" i="13" s="1"/>
  <c r="I222" i="13"/>
  <c r="J222" i="13" s="1"/>
  <c r="I193" i="13"/>
  <c r="I242" i="13"/>
  <c r="J242" i="13" s="1"/>
  <c r="I192" i="13"/>
  <c r="I215" i="13"/>
  <c r="J215" i="13" s="1"/>
  <c r="I202" i="13"/>
  <c r="J202" i="13" s="1"/>
  <c r="I187" i="13"/>
  <c r="I228" i="13"/>
  <c r="J228" i="13" s="1"/>
  <c r="I208" i="13"/>
  <c r="J208" i="13" s="1"/>
  <c r="I198" i="13"/>
  <c r="J198" i="13" s="1"/>
  <c r="I197" i="13"/>
  <c r="J197" i="13" s="1"/>
  <c r="I224" i="13"/>
  <c r="J224" i="13" s="1"/>
  <c r="I246" i="13"/>
  <c r="J246" i="13" s="1"/>
  <c r="I244" i="13"/>
  <c r="J244" i="13" s="1"/>
  <c r="I206" i="13"/>
  <c r="J206" i="13" s="1"/>
  <c r="I235" i="13"/>
  <c r="J235" i="13" s="1"/>
  <c r="I213" i="13"/>
  <c r="J213" i="13" s="1"/>
  <c r="I221" i="13"/>
  <c r="J221" i="13" s="1"/>
  <c r="I214" i="13"/>
  <c r="J214" i="13" s="1"/>
  <c r="I220" i="13"/>
  <c r="J220" i="13" s="1"/>
  <c r="I194" i="13"/>
  <c r="I243" i="13"/>
  <c r="J243" i="13" s="1"/>
  <c r="I237" i="13"/>
  <c r="J237" i="13" s="1"/>
  <c r="I236" i="13"/>
  <c r="J236" i="13" s="1"/>
  <c r="I207" i="13"/>
  <c r="J207" i="13" s="1"/>
  <c r="I239" i="13"/>
  <c r="J239" i="13" s="1"/>
  <c r="I240" i="13"/>
  <c r="J240" i="13" s="1"/>
  <c r="I211" i="13"/>
  <c r="J211" i="13" s="1"/>
  <c r="I232" i="13"/>
  <c r="J232" i="13" s="1"/>
  <c r="I219" i="13"/>
  <c r="J219" i="13" s="1"/>
  <c r="I216" i="13"/>
  <c r="J216" i="13" s="1"/>
  <c r="I241" i="13"/>
  <c r="J241" i="13" s="1"/>
  <c r="I238" i="13"/>
  <c r="J238" i="13" s="1"/>
  <c r="I227" i="13"/>
  <c r="J227" i="13" s="1"/>
  <c r="I195" i="13"/>
  <c r="I190" i="13"/>
  <c r="I230" i="13"/>
  <c r="J230" i="13" s="1"/>
  <c r="I205" i="13"/>
  <c r="J205" i="13" s="1"/>
  <c r="I223" i="13"/>
  <c r="J223" i="13" s="1"/>
  <c r="I210" i="13"/>
  <c r="J210" i="13" s="1"/>
  <c r="I245" i="13"/>
  <c r="J245" i="13" s="1"/>
  <c r="I191" i="13"/>
  <c r="I201" i="13"/>
  <c r="J201" i="13" s="1"/>
  <c r="I189" i="13"/>
  <c r="I217" i="13"/>
  <c r="J217" i="13" s="1"/>
  <c r="I200" i="13"/>
  <c r="J200" i="13" s="1"/>
  <c r="I209" i="13"/>
  <c r="J209" i="13" s="1"/>
  <c r="I226" i="13"/>
  <c r="J226" i="13" s="1"/>
  <c r="I905" i="13"/>
  <c r="J905" i="13" s="1"/>
  <c r="I926" i="13"/>
  <c r="J926" i="13" s="1"/>
  <c r="I907" i="13"/>
  <c r="J907" i="13" s="1"/>
  <c r="I942" i="13"/>
  <c r="J942" i="13" s="1"/>
  <c r="I886" i="13"/>
  <c r="I931" i="13"/>
  <c r="J931" i="13" s="1"/>
  <c r="I900" i="13"/>
  <c r="J900" i="13" s="1"/>
  <c r="I921" i="13"/>
  <c r="J921" i="13" s="1"/>
  <c r="I909" i="13"/>
  <c r="J909" i="13" s="1"/>
  <c r="I925" i="13"/>
  <c r="J925" i="13" s="1"/>
  <c r="I913" i="13"/>
  <c r="J913" i="13" s="1"/>
  <c r="I912" i="13"/>
  <c r="J912" i="13" s="1"/>
  <c r="I935" i="13"/>
  <c r="J935" i="13" s="1"/>
  <c r="I917" i="13"/>
  <c r="J917" i="13" s="1"/>
  <c r="I904" i="13"/>
  <c r="J904" i="13" s="1"/>
  <c r="I894" i="13"/>
  <c r="J894" i="13" s="1"/>
  <c r="I929" i="13"/>
  <c r="J929" i="13" s="1"/>
  <c r="I887" i="13"/>
  <c r="I936" i="13"/>
  <c r="J936" i="13" s="1"/>
  <c r="I940" i="13"/>
  <c r="J940" i="13" s="1"/>
  <c r="I885" i="13"/>
  <c r="J885" i="13" s="1"/>
  <c r="I890" i="13"/>
  <c r="J890" i="13" s="1"/>
  <c r="I908" i="13"/>
  <c r="J908" i="13" s="1"/>
  <c r="I937" i="13"/>
  <c r="J937" i="13" s="1"/>
  <c r="I903" i="13"/>
  <c r="J903" i="13" s="1"/>
  <c r="I883" i="13"/>
  <c r="I932" i="13"/>
  <c r="J932" i="13" s="1"/>
  <c r="I928" i="13"/>
  <c r="J928" i="13" s="1"/>
  <c r="I911" i="13"/>
  <c r="J911" i="13" s="1"/>
  <c r="I933" i="13"/>
  <c r="J933" i="13" s="1"/>
  <c r="I902" i="13"/>
  <c r="J902" i="13" s="1"/>
  <c r="I939" i="13"/>
  <c r="J939" i="13" s="1"/>
  <c r="I884" i="13"/>
  <c r="J884" i="13" s="1"/>
  <c r="I915" i="13"/>
  <c r="J915" i="13" s="1"/>
  <c r="I934" i="13"/>
  <c r="J934" i="13" s="1"/>
  <c r="I916" i="13"/>
  <c r="J916" i="13" s="1"/>
  <c r="I897" i="13"/>
  <c r="J897" i="13" s="1"/>
  <c r="I930" i="13"/>
  <c r="J930" i="13" s="1"/>
  <c r="I910" i="13"/>
  <c r="J910" i="13" s="1"/>
  <c r="I898" i="13"/>
  <c r="J898" i="13" s="1"/>
  <c r="I895" i="13"/>
  <c r="J895" i="13" s="1"/>
  <c r="I923" i="13"/>
  <c r="J923" i="13" s="1"/>
  <c r="I892" i="13"/>
  <c r="J892" i="13" s="1"/>
  <c r="I924" i="13"/>
  <c r="J924" i="13" s="1"/>
  <c r="I893" i="13"/>
  <c r="J893" i="13" s="1"/>
  <c r="I891" i="13"/>
  <c r="J891" i="13" s="1"/>
  <c r="I901" i="13"/>
  <c r="J901" i="13" s="1"/>
  <c r="I899" i="13"/>
  <c r="J899" i="13" s="1"/>
  <c r="I941" i="13"/>
  <c r="J941" i="13" s="1"/>
  <c r="I919" i="13"/>
  <c r="J919" i="13" s="1"/>
  <c r="I918" i="13"/>
  <c r="J918" i="13" s="1"/>
  <c r="I927" i="13"/>
  <c r="J927" i="13" s="1"/>
  <c r="I906" i="13"/>
  <c r="J906" i="13" s="1"/>
  <c r="I888" i="13"/>
  <c r="I889" i="13"/>
  <c r="I920" i="13"/>
  <c r="J920" i="13" s="1"/>
  <c r="I914" i="13"/>
  <c r="J914" i="13" s="1"/>
  <c r="I938" i="13"/>
  <c r="J938" i="13" s="1"/>
  <c r="I896" i="13"/>
  <c r="J896" i="13" s="1"/>
  <c r="I922" i="13"/>
  <c r="J922" i="13" s="1"/>
  <c r="M611" i="13"/>
  <c r="M612" i="13" s="1"/>
  <c r="M628" i="13"/>
  <c r="M541" i="13"/>
  <c r="M524" i="13"/>
  <c r="M525" i="13" s="1"/>
  <c r="H953" i="20"/>
  <c r="I953" i="20" s="1"/>
  <c r="H742" i="20"/>
  <c r="I742" i="20" s="1"/>
  <c r="H490" i="20"/>
  <c r="I490" i="20" s="1"/>
  <c r="H220" i="20"/>
  <c r="I220" i="20" s="1"/>
  <c r="H649" i="20"/>
  <c r="I649" i="20" s="1"/>
  <c r="H302" i="20"/>
  <c r="I302" i="20" s="1"/>
  <c r="H757" i="20"/>
  <c r="I757" i="20" s="1"/>
  <c r="H282" i="20"/>
  <c r="I282" i="20" s="1"/>
  <c r="H548" i="20"/>
  <c r="H862" i="20"/>
  <c r="I862" i="20" s="1"/>
  <c r="H647" i="20"/>
  <c r="I647" i="20" s="1"/>
  <c r="H946" i="20"/>
  <c r="I946" i="20" s="1"/>
  <c r="H502" i="20"/>
  <c r="I502" i="20" s="1"/>
  <c r="H781" i="20"/>
  <c r="I781" i="20" s="1"/>
  <c r="H310" i="20"/>
  <c r="I310" i="20" s="1"/>
  <c r="H571" i="20"/>
  <c r="I571" i="20" s="1"/>
  <c r="H221" i="20"/>
  <c r="I221" i="20" s="1"/>
  <c r="H475" i="20"/>
  <c r="I475" i="20" s="1"/>
  <c r="H238" i="20"/>
  <c r="I238" i="20" s="1"/>
  <c r="H560" i="20"/>
  <c r="I560" i="20" s="1"/>
  <c r="H658" i="20"/>
  <c r="I658" i="20" s="1"/>
  <c r="H508" i="20"/>
  <c r="I508" i="20" s="1"/>
  <c r="H321" i="20"/>
  <c r="I321" i="20" s="1"/>
  <c r="H193" i="20"/>
  <c r="I193" i="20" s="1"/>
  <c r="H851" i="20"/>
  <c r="I851" i="20" s="1"/>
  <c r="H607" i="20"/>
  <c r="I607" i="20" s="1"/>
  <c r="H376" i="20"/>
  <c r="I376" i="20" s="1"/>
  <c r="H913" i="20"/>
  <c r="I913" i="20" s="1"/>
  <c r="H234" i="20"/>
  <c r="I234" i="20" s="1"/>
  <c r="H115" i="20"/>
  <c r="I115" i="20" s="1"/>
  <c r="H602" i="20"/>
  <c r="I602" i="20" s="1"/>
  <c r="H764" i="20"/>
  <c r="I764" i="20" s="1"/>
  <c r="H570" i="20"/>
  <c r="I570" i="20" s="1"/>
  <c r="H297" i="20"/>
  <c r="I297" i="20" s="1"/>
  <c r="H679" i="20"/>
  <c r="I679" i="20" s="1"/>
  <c r="H925" i="20"/>
  <c r="I925" i="20" s="1"/>
  <c r="H847" i="20"/>
  <c r="I847" i="20" s="1"/>
  <c r="H464" i="20"/>
  <c r="I464" i="20" s="1"/>
  <c r="H664" i="20"/>
  <c r="I664" i="20" s="1"/>
  <c r="H935" i="20"/>
  <c r="I935" i="20" s="1"/>
  <c r="H338" i="20"/>
  <c r="I338" i="20" s="1"/>
  <c r="H741" i="20"/>
  <c r="I741" i="20" s="1"/>
  <c r="H152" i="20"/>
  <c r="I152" i="20" s="1"/>
  <c r="H314" i="20"/>
  <c r="I314" i="20" s="1"/>
  <c r="H370" i="20"/>
  <c r="I370" i="20" s="1"/>
  <c r="H819" i="20"/>
  <c r="I819" i="20" s="1"/>
  <c r="H466" i="20"/>
  <c r="I466" i="20" s="1"/>
  <c r="H665" i="20"/>
  <c r="I665" i="20" s="1"/>
  <c r="H758" i="20"/>
  <c r="I758" i="20" s="1"/>
  <c r="H581" i="20"/>
  <c r="I581" i="20" s="1"/>
  <c r="H140" i="20"/>
  <c r="I140" i="20" s="1"/>
  <c r="H854" i="20"/>
  <c r="I854" i="20" s="1"/>
  <c r="H465" i="20"/>
  <c r="H591" i="20"/>
  <c r="I591" i="20" s="1"/>
  <c r="H831" i="20"/>
  <c r="I831" i="20" s="1"/>
  <c r="H131" i="20"/>
  <c r="I131" i="20" s="1"/>
  <c r="H119" i="20"/>
  <c r="I119" i="20" s="1"/>
  <c r="H318" i="20"/>
  <c r="I318" i="20" s="1"/>
  <c r="H693" i="20"/>
  <c r="I693" i="20" s="1"/>
  <c r="H217" i="20"/>
  <c r="I217" i="20" s="1"/>
  <c r="H677" i="20"/>
  <c r="I677" i="20" s="1"/>
  <c r="H512" i="20"/>
  <c r="I512" i="20" s="1"/>
  <c r="H920" i="20"/>
  <c r="I920" i="20" s="1"/>
  <c r="H770" i="20"/>
  <c r="I770" i="20" s="1"/>
  <c r="H309" i="20"/>
  <c r="I309" i="20" s="1"/>
  <c r="H926" i="20"/>
  <c r="I926" i="20" s="1"/>
  <c r="H947" i="20"/>
  <c r="I947" i="20" s="1"/>
  <c r="H150" i="20"/>
  <c r="I150" i="20" s="1"/>
  <c r="H944" i="20"/>
  <c r="I944" i="20" s="1"/>
  <c r="H316" i="20"/>
  <c r="I316" i="20" s="1"/>
  <c r="H943" i="20"/>
  <c r="I943" i="20" s="1"/>
  <c r="H681" i="20"/>
  <c r="I681" i="20" s="1"/>
  <c r="H375" i="20"/>
  <c r="I375" i="20" s="1"/>
  <c r="H236" i="20"/>
  <c r="I236" i="20" s="1"/>
  <c r="H682" i="20"/>
  <c r="I682" i="20" s="1"/>
  <c r="H371" i="20"/>
  <c r="I371" i="20" s="1"/>
  <c r="H473" i="20"/>
  <c r="I473" i="20" s="1"/>
  <c r="H326" i="20"/>
  <c r="I326" i="20" s="1"/>
  <c r="H849" i="20"/>
  <c r="I849" i="20" s="1"/>
  <c r="H646" i="20"/>
  <c r="I646" i="20" s="1"/>
  <c r="H639" i="20"/>
  <c r="I639" i="20" s="1"/>
  <c r="H330" i="20"/>
  <c r="I330" i="20" s="1"/>
  <c r="H818" i="20"/>
  <c r="I818" i="20" s="1"/>
  <c r="H838" i="20"/>
  <c r="I838" i="20" s="1"/>
  <c r="H116" i="20"/>
  <c r="I116" i="20" s="1"/>
  <c r="H777" i="20"/>
  <c r="I777" i="20" s="1"/>
  <c r="H659" i="20"/>
  <c r="I659" i="20" s="1"/>
  <c r="H411" i="20"/>
  <c r="I411" i="20" s="1"/>
  <c r="H500" i="20"/>
  <c r="I500" i="20" s="1"/>
  <c r="H868" i="20"/>
  <c r="I868" i="20" s="1"/>
  <c r="H470" i="20"/>
  <c r="I470" i="20" s="1"/>
  <c r="H216" i="20"/>
  <c r="I216" i="20" s="1"/>
  <c r="H418" i="20"/>
  <c r="I418" i="20" s="1"/>
  <c r="H114" i="20"/>
  <c r="I114" i="20" s="1"/>
  <c r="H516" i="20"/>
  <c r="I516" i="20" s="1"/>
  <c r="H667" i="20"/>
  <c r="I667" i="20" s="1"/>
  <c r="H554" i="20"/>
  <c r="H247" i="20"/>
  <c r="I247" i="20" s="1"/>
  <c r="H652" i="20"/>
  <c r="I652" i="20" s="1"/>
  <c r="H940" i="20"/>
  <c r="I940" i="20" s="1"/>
  <c r="H939" i="20"/>
  <c r="I939" i="20" s="1"/>
  <c r="H759" i="20"/>
  <c r="I759" i="20" s="1"/>
  <c r="H867" i="20"/>
  <c r="I867" i="20" s="1"/>
  <c r="H579" i="20"/>
  <c r="I579" i="20" s="1"/>
  <c r="H603" i="20"/>
  <c r="I603" i="20" s="1"/>
  <c r="H924" i="20"/>
  <c r="I924" i="20" s="1"/>
  <c r="H107" i="20"/>
  <c r="I107" i="20" s="1"/>
  <c r="H503" i="20"/>
  <c r="I503" i="20" s="1"/>
  <c r="H915" i="20"/>
  <c r="I915" i="20" s="1"/>
  <c r="H129" i="20"/>
  <c r="I129" i="20" s="1"/>
  <c r="H683" i="20"/>
  <c r="I683" i="20" s="1"/>
  <c r="H415" i="20"/>
  <c r="I415" i="20" s="1"/>
  <c r="H240" i="20"/>
  <c r="I240" i="20" s="1"/>
  <c r="H301" i="20"/>
  <c r="I301" i="20" s="1"/>
  <c r="H485" i="20"/>
  <c r="I485" i="20" s="1"/>
  <c r="H650" i="20"/>
  <c r="I650" i="20" s="1"/>
  <c r="H749" i="20"/>
  <c r="I749" i="20" s="1"/>
  <c r="H730" i="20"/>
  <c r="I730" i="20" s="1"/>
  <c r="H224" i="20"/>
  <c r="I224" i="20" s="1"/>
  <c r="H783" i="20"/>
  <c r="I783" i="20" s="1"/>
  <c r="H227" i="20"/>
  <c r="I227" i="20" s="1"/>
  <c r="H492" i="20"/>
  <c r="I492" i="20" s="1"/>
  <c r="H202" i="20"/>
  <c r="I202" i="20" s="1"/>
  <c r="H118" i="20"/>
  <c r="I118" i="20" s="1"/>
  <c r="H307" i="20"/>
  <c r="I307" i="20" s="1"/>
  <c r="H399" i="20"/>
  <c r="I399" i="20" s="1"/>
  <c r="H951" i="20"/>
  <c r="I951" i="20" s="1"/>
  <c r="H378" i="20"/>
  <c r="I378" i="20" s="1"/>
  <c r="H557" i="20"/>
  <c r="I557" i="20" s="1"/>
  <c r="H102" i="20"/>
  <c r="I102" i="20" s="1"/>
  <c r="H413" i="20"/>
  <c r="I413" i="20" s="1"/>
  <c r="H912" i="20"/>
  <c r="H585" i="20"/>
  <c r="I585" i="20" s="1"/>
  <c r="H660" i="20"/>
  <c r="I660" i="20" s="1"/>
  <c r="H859" i="20"/>
  <c r="I859" i="20" s="1"/>
  <c r="H215" i="20"/>
  <c r="I215" i="20" s="1"/>
  <c r="H735" i="20"/>
  <c r="I735" i="20" s="1"/>
  <c r="H766" i="20"/>
  <c r="I766" i="20" s="1"/>
  <c r="H861" i="20"/>
  <c r="I861" i="20" s="1"/>
  <c r="H425" i="20"/>
  <c r="I425" i="20" s="1"/>
  <c r="H414" i="20"/>
  <c r="I414" i="20" s="1"/>
  <c r="H369" i="20"/>
  <c r="H863" i="20"/>
  <c r="I863" i="20" s="1"/>
  <c r="H657" i="20"/>
  <c r="I657" i="20" s="1"/>
  <c r="H604" i="20"/>
  <c r="I604" i="20" s="1"/>
  <c r="H816" i="20"/>
  <c r="I816" i="20" s="1"/>
  <c r="H304" i="20"/>
  <c r="I304" i="20" s="1"/>
  <c r="H574" i="20"/>
  <c r="I574" i="20" s="1"/>
  <c r="H846" i="20"/>
  <c r="I846" i="20" s="1"/>
  <c r="H938" i="20"/>
  <c r="I938" i="20" s="1"/>
  <c r="H482" i="20"/>
  <c r="I482" i="20" s="1"/>
  <c r="H553" i="20"/>
  <c r="I553" i="20" s="1"/>
  <c r="H923" i="20"/>
  <c r="I923" i="20" s="1"/>
  <c r="H577" i="20"/>
  <c r="I577" i="20" s="1"/>
  <c r="H779" i="20"/>
  <c r="I779" i="20" s="1"/>
  <c r="H308" i="20"/>
  <c r="I308" i="20" s="1"/>
  <c r="H494" i="20"/>
  <c r="I494" i="20" s="1"/>
  <c r="H584" i="20"/>
  <c r="I584" i="20" s="1"/>
  <c r="H153" i="20"/>
  <c r="I153" i="20" s="1"/>
  <c r="H850" i="20"/>
  <c r="I850" i="20" s="1"/>
  <c r="H962" i="20"/>
  <c r="I962" i="20" s="1"/>
  <c r="H194" i="20"/>
  <c r="I194" i="20" s="1"/>
  <c r="H761" i="20"/>
  <c r="I761" i="20" s="1"/>
  <c r="H852" i="20"/>
  <c r="I852" i="20" s="1"/>
  <c r="H287" i="20"/>
  <c r="I287" i="20" s="1"/>
  <c r="H727" i="20"/>
  <c r="I727" i="20" s="1"/>
  <c r="H580" i="20"/>
  <c r="I580" i="20" s="1"/>
  <c r="H694" i="20"/>
  <c r="I694" i="20" s="1"/>
  <c r="H864" i="20"/>
  <c r="I864" i="20" s="1"/>
  <c r="H192" i="20"/>
  <c r="I192" i="20" s="1"/>
  <c r="H845" i="20"/>
  <c r="I845" i="20" s="1"/>
  <c r="H839" i="20"/>
  <c r="I839" i="20" s="1"/>
  <c r="H515" i="20"/>
  <c r="I515" i="20" s="1"/>
  <c r="H132" i="20"/>
  <c r="I132" i="20" s="1"/>
  <c r="H105" i="20"/>
  <c r="I105" i="20" s="1"/>
  <c r="H676" i="20"/>
  <c r="I676" i="20" s="1"/>
  <c r="H955" i="20"/>
  <c r="I955" i="20" s="1"/>
  <c r="H296" i="20"/>
  <c r="I296" i="20" s="1"/>
  <c r="H421" i="20"/>
  <c r="I421" i="20" s="1"/>
  <c r="H390" i="20"/>
  <c r="I390" i="20" s="1"/>
  <c r="H300" i="20"/>
  <c r="I300" i="20" s="1"/>
  <c r="H605" i="20"/>
  <c r="I605" i="20" s="1"/>
  <c r="H157" i="20"/>
  <c r="I157" i="20" s="1"/>
  <c r="H956" i="20"/>
  <c r="I956" i="20" s="1"/>
  <c r="H565" i="20"/>
  <c r="I565" i="20" s="1"/>
  <c r="H151" i="20"/>
  <c r="I151" i="20" s="1"/>
  <c r="H569" i="20"/>
  <c r="I569" i="20" s="1"/>
  <c r="H826" i="20"/>
  <c r="I826" i="20" s="1"/>
  <c r="H737" i="20"/>
  <c r="I737" i="20" s="1"/>
  <c r="H834" i="20"/>
  <c r="I834" i="20" s="1"/>
  <c r="H206" i="20"/>
  <c r="I206" i="20" s="1"/>
  <c r="H588" i="20"/>
  <c r="I588" i="20" s="1"/>
  <c r="H228" i="20"/>
  <c r="I228" i="20" s="1"/>
  <c r="H249" i="20"/>
  <c r="I249" i="20" s="1"/>
  <c r="H769" i="20"/>
  <c r="I769" i="20" s="1"/>
  <c r="H250" i="20"/>
  <c r="I250" i="20" s="1"/>
  <c r="H404" i="20"/>
  <c r="I404" i="20" s="1"/>
  <c r="H374" i="20"/>
  <c r="I374" i="20" s="1"/>
  <c r="H917" i="20"/>
  <c r="I917" i="20" s="1"/>
  <c r="H387" i="20"/>
  <c r="I387" i="20" s="1"/>
  <c r="H598" i="20"/>
  <c r="I598" i="20" s="1"/>
  <c r="H776" i="20"/>
  <c r="I776" i="20" s="1"/>
  <c r="H232" i="20"/>
  <c r="I232" i="20" s="1"/>
  <c r="H403" i="20"/>
  <c r="I403" i="20" s="1"/>
  <c r="H491" i="20"/>
  <c r="I491" i="20" s="1"/>
  <c r="H427" i="20"/>
  <c r="I427" i="20" s="1"/>
  <c r="H750" i="20"/>
  <c r="I750" i="20" s="1"/>
  <c r="H504" i="20"/>
  <c r="I504" i="20" s="1"/>
  <c r="H919" i="20"/>
  <c r="I919" i="20" s="1"/>
  <c r="H666" i="20"/>
  <c r="I666" i="20" s="1"/>
  <c r="H748" i="20"/>
  <c r="I748" i="20" s="1"/>
  <c r="H148" i="20"/>
  <c r="I148" i="20" s="1"/>
  <c r="H122" i="20"/>
  <c r="I122" i="20" s="1"/>
  <c r="H870" i="20"/>
  <c r="I870" i="20" s="1"/>
  <c r="H858" i="20"/>
  <c r="I858" i="20" s="1"/>
  <c r="H483" i="20"/>
  <c r="I483" i="20" s="1"/>
  <c r="H568" i="20"/>
  <c r="I568" i="20" s="1"/>
  <c r="H774" i="20"/>
  <c r="I774" i="20" s="1"/>
  <c r="H736" i="20"/>
  <c r="I736" i="20" s="1"/>
  <c r="H156" i="20"/>
  <c r="I156" i="20" s="1"/>
  <c r="H921" i="20"/>
  <c r="I921" i="20" s="1"/>
  <c r="H141" i="20"/>
  <c r="I141" i="20" s="1"/>
  <c r="H833" i="20"/>
  <c r="I833" i="20" s="1"/>
  <c r="H319" i="20"/>
  <c r="I319" i="20" s="1"/>
  <c r="H407" i="20"/>
  <c r="I407" i="20" s="1"/>
  <c r="H586" i="20"/>
  <c r="I586" i="20" s="1"/>
  <c r="H869" i="20"/>
  <c r="I869" i="20" s="1"/>
  <c r="H134" i="20"/>
  <c r="I134" i="20" s="1"/>
  <c r="H680" i="20"/>
  <c r="I680" i="20" s="1"/>
  <c r="H467" i="20"/>
  <c r="I467" i="20" s="1"/>
  <c r="H497" i="20"/>
  <c r="I497" i="20" s="1"/>
  <c r="H871" i="20"/>
  <c r="I871" i="20" s="1"/>
  <c r="H507" i="20"/>
  <c r="I507" i="20" s="1"/>
  <c r="H775" i="20"/>
  <c r="I775" i="20" s="1"/>
  <c r="H765" i="20"/>
  <c r="I765" i="20" s="1"/>
  <c r="H149" i="20"/>
  <c r="I149" i="20" s="1"/>
  <c r="H147" i="20"/>
  <c r="I147" i="20" s="1"/>
  <c r="H312" i="20"/>
  <c r="I312" i="20" s="1"/>
  <c r="H211" i="20"/>
  <c r="I211" i="20" s="1"/>
  <c r="H945" i="20"/>
  <c r="I945" i="20" s="1"/>
  <c r="H728" i="20"/>
  <c r="I728" i="20" s="1"/>
  <c r="H768" i="20"/>
  <c r="I768" i="20" s="1"/>
  <c r="H767" i="20"/>
  <c r="I767" i="20" s="1"/>
  <c r="H383" i="20"/>
  <c r="I383" i="20" s="1"/>
  <c r="H555" i="20"/>
  <c r="I555" i="20" s="1"/>
  <c r="H656" i="20"/>
  <c r="I656" i="20" s="1"/>
  <c r="H111" i="20"/>
  <c r="H782" i="20"/>
  <c r="I782" i="20" s="1"/>
  <c r="H922" i="20"/>
  <c r="I922" i="20" s="1"/>
  <c r="H663" i="20"/>
  <c r="I663" i="20" s="1"/>
  <c r="H733" i="20"/>
  <c r="I733" i="20" s="1"/>
  <c r="H408" i="20"/>
  <c r="I408" i="20" s="1"/>
  <c r="H336" i="20"/>
  <c r="I336" i="20" s="1"/>
  <c r="H827" i="20"/>
  <c r="I827" i="20" s="1"/>
  <c r="H911" i="20"/>
  <c r="I911" i="20" s="1"/>
  <c r="H299" i="20"/>
  <c r="I299" i="20" s="1"/>
  <c r="H963" i="20"/>
  <c r="I963" i="20" s="1"/>
  <c r="H155" i="20"/>
  <c r="I155" i="20" s="1"/>
  <c r="H212" i="20"/>
  <c r="I212" i="20" s="1"/>
  <c r="H558" i="20"/>
  <c r="I558" i="20" s="1"/>
  <c r="H760" i="20"/>
  <c r="I760" i="20" s="1"/>
  <c r="H606" i="20"/>
  <c r="I606" i="20" s="1"/>
  <c r="H214" i="20"/>
  <c r="I214" i="20" s="1"/>
  <c r="H684" i="20"/>
  <c r="I684" i="20" s="1"/>
  <c r="H601" i="20"/>
  <c r="I601" i="20" s="1"/>
  <c r="H582" i="20"/>
  <c r="I582" i="20" s="1"/>
  <c r="H146" i="20"/>
  <c r="I146" i="20" s="1"/>
  <c r="H120" i="20"/>
  <c r="I120" i="20" s="1"/>
  <c r="H957" i="20"/>
  <c r="I957" i="20" s="1"/>
  <c r="H417" i="20"/>
  <c r="I417" i="20" s="1"/>
  <c r="H914" i="20"/>
  <c r="I914" i="20" s="1"/>
  <c r="H223" i="20"/>
  <c r="I223" i="20" s="1"/>
  <c r="H125" i="20"/>
  <c r="I125" i="20" s="1"/>
  <c r="H480" i="20"/>
  <c r="I480" i="20" s="1"/>
  <c r="H655" i="20"/>
  <c r="I655" i="20" s="1"/>
  <c r="H729" i="20"/>
  <c r="I729" i="20" s="1"/>
  <c r="H642" i="20"/>
  <c r="I642" i="20" s="1"/>
  <c r="H462" i="20"/>
  <c r="I462" i="20" s="1"/>
  <c r="H204" i="20"/>
  <c r="I204" i="20" s="1"/>
  <c r="H290" i="20"/>
  <c r="I290" i="20" s="1"/>
  <c r="H488" i="20"/>
  <c r="I488" i="20" s="1"/>
  <c r="H208" i="20"/>
  <c r="I208" i="20" s="1"/>
  <c r="H954" i="20"/>
  <c r="I954" i="20" s="1"/>
  <c r="H959" i="20"/>
  <c r="I959" i="20" s="1"/>
  <c r="H732" i="20"/>
  <c r="H396" i="20"/>
  <c r="I396" i="20" s="1"/>
  <c r="H934" i="20"/>
  <c r="I934" i="20" s="1"/>
  <c r="H575" i="20"/>
  <c r="I575" i="20" s="1"/>
  <c r="H576" i="20"/>
  <c r="I576" i="20" s="1"/>
  <c r="H288" i="20"/>
  <c r="I288" i="20" s="1"/>
  <c r="H459" i="20"/>
  <c r="H306" i="20"/>
  <c r="I306" i="20" s="1"/>
  <c r="H964" i="20"/>
  <c r="I964" i="20" s="1"/>
  <c r="H908" i="20"/>
  <c r="I908" i="20" s="1"/>
  <c r="H382" i="20"/>
  <c r="I382" i="20" s="1"/>
  <c r="H564" i="20"/>
  <c r="I564" i="20" s="1"/>
  <c r="H593" i="20"/>
  <c r="I593" i="20" s="1"/>
  <c r="H386" i="20"/>
  <c r="I386" i="20" s="1"/>
  <c r="H931" i="20"/>
  <c r="I931" i="20" s="1"/>
  <c r="H865" i="20"/>
  <c r="I865" i="20" s="1"/>
  <c r="H412" i="20"/>
  <c r="I412" i="20" s="1"/>
  <c r="H566" i="20"/>
  <c r="I566" i="20" s="1"/>
  <c r="H142" i="20"/>
  <c r="I142" i="20" s="1"/>
  <c r="H674" i="20"/>
  <c r="I674" i="20" s="1"/>
  <c r="H416" i="20"/>
  <c r="I416" i="20" s="1"/>
  <c r="H138" i="20"/>
  <c r="I138" i="20" s="1"/>
  <c r="H286" i="20"/>
  <c r="I286" i="20" s="1"/>
  <c r="H112" i="20"/>
  <c r="I112" i="20" s="1"/>
  <c r="H583" i="20"/>
  <c r="I583" i="20" s="1"/>
  <c r="H106" i="20"/>
  <c r="I106" i="20" s="1"/>
  <c r="H648" i="20"/>
  <c r="I648" i="20" s="1"/>
  <c r="H762" i="20"/>
  <c r="I762" i="20" s="1"/>
  <c r="H640" i="20"/>
  <c r="I640" i="20" s="1"/>
  <c r="H965" i="20"/>
  <c r="I965" i="20" s="1"/>
  <c r="H322" i="20"/>
  <c r="I322" i="20" s="1"/>
  <c r="H739" i="20"/>
  <c r="I739" i="20" s="1"/>
  <c r="H830" i="20"/>
  <c r="I830" i="20" s="1"/>
  <c r="H573" i="20"/>
  <c r="I573" i="20" s="1"/>
  <c r="H687" i="20"/>
  <c r="I687" i="20" s="1"/>
  <c r="H780" i="20"/>
  <c r="I780" i="20" s="1"/>
  <c r="H201" i="20"/>
  <c r="I201" i="20" s="1"/>
  <c r="H590" i="20"/>
  <c r="I590" i="20" s="1"/>
  <c r="H653" i="20"/>
  <c r="I653" i="20" s="1"/>
  <c r="H835" i="20"/>
  <c r="I835" i="20" s="1"/>
  <c r="H872" i="20"/>
  <c r="I872" i="20" s="1"/>
  <c r="H815" i="20"/>
  <c r="H335" i="20"/>
  <c r="I335" i="20" s="1"/>
  <c r="H686" i="20"/>
  <c r="I686" i="20" s="1"/>
  <c r="H222" i="20"/>
  <c r="I222" i="20" s="1"/>
  <c r="H389" i="20"/>
  <c r="I389" i="20" s="1"/>
  <c r="H873" i="20"/>
  <c r="I873" i="20" s="1"/>
  <c r="H941" i="20"/>
  <c r="I941" i="20" s="1"/>
  <c r="H294" i="20"/>
  <c r="I294" i="20" s="1"/>
  <c r="H669" i="20"/>
  <c r="I669" i="20" s="1"/>
  <c r="H245" i="20"/>
  <c r="I245" i="20" s="1"/>
  <c r="H230" i="20"/>
  <c r="I230" i="20" s="1"/>
  <c r="H928" i="20"/>
  <c r="I928" i="20" s="1"/>
  <c r="H595" i="20"/>
  <c r="I595" i="20" s="1"/>
  <c r="H828" i="20"/>
  <c r="I828" i="20" s="1"/>
  <c r="H394" i="20"/>
  <c r="I394" i="20" s="1"/>
  <c r="H744" i="20"/>
  <c r="I744" i="20" s="1"/>
  <c r="H226" i="20"/>
  <c r="I226" i="20" s="1"/>
  <c r="H510" i="20"/>
  <c r="I510" i="20" s="1"/>
  <c r="H641" i="20"/>
  <c r="I641" i="20" s="1"/>
  <c r="H331" i="20"/>
  <c r="I331" i="20" s="1"/>
  <c r="H837" i="20"/>
  <c r="I837" i="20" s="1"/>
  <c r="H380" i="20"/>
  <c r="I380" i="20" s="1"/>
  <c r="H395" i="20"/>
  <c r="I395" i="20" s="1"/>
  <c r="H654" i="20"/>
  <c r="I654" i="20" s="1"/>
  <c r="H763" i="20"/>
  <c r="I763" i="20" s="1"/>
  <c r="H402" i="20"/>
  <c r="I402" i="20" s="1"/>
  <c r="H668" i="20"/>
  <c r="I668" i="20" s="1"/>
  <c r="H511" i="20"/>
  <c r="I511" i="20" s="1"/>
  <c r="H332" i="20"/>
  <c r="I332" i="20" s="1"/>
  <c r="H562" i="20"/>
  <c r="I562" i="20" s="1"/>
  <c r="H476" i="20"/>
  <c r="I476" i="20" s="1"/>
  <c r="H136" i="20"/>
  <c r="I136" i="20" s="1"/>
  <c r="H237" i="20"/>
  <c r="I237" i="20" s="1"/>
  <c r="H481" i="20"/>
  <c r="I481" i="20" s="1"/>
  <c r="H293" i="20"/>
  <c r="I293" i="20" s="1"/>
  <c r="H101" i="20"/>
  <c r="H401" i="20"/>
  <c r="I401" i="20" s="1"/>
  <c r="H324" i="20"/>
  <c r="I324" i="20" s="1"/>
  <c r="H285" i="20"/>
  <c r="I285" i="20" s="1"/>
  <c r="H133" i="20"/>
  <c r="I133" i="20" s="1"/>
  <c r="H842" i="20"/>
  <c r="I842" i="20" s="1"/>
  <c r="H587" i="20"/>
  <c r="I587" i="20" s="1"/>
  <c r="H121" i="20"/>
  <c r="I121" i="20" s="1"/>
  <c r="H130" i="20"/>
  <c r="I130" i="20" s="1"/>
  <c r="H673" i="20"/>
  <c r="I673" i="20" s="1"/>
  <c r="H509" i="20"/>
  <c r="I509" i="20" s="1"/>
  <c r="H145" i="20"/>
  <c r="I145" i="20" s="1"/>
  <c r="H843" i="20"/>
  <c r="I843" i="20" s="1"/>
  <c r="H675" i="20"/>
  <c r="I675" i="20" s="1"/>
  <c r="H392" i="20"/>
  <c r="I392" i="20" s="1"/>
  <c r="H638" i="20"/>
  <c r="I638" i="20" s="1"/>
  <c r="H933" i="20"/>
  <c r="I933" i="20" s="1"/>
  <c r="H950" i="20"/>
  <c r="I950" i="20" s="1"/>
  <c r="H691" i="20"/>
  <c r="I691" i="20" s="1"/>
  <c r="H909" i="20"/>
  <c r="I909" i="20" s="1"/>
  <c r="H689" i="20"/>
  <c r="I689" i="20" s="1"/>
  <c r="H637" i="20"/>
  <c r="H840" i="20"/>
  <c r="I840" i="20" s="1"/>
  <c r="H505" i="20"/>
  <c r="I505" i="20" s="1"/>
  <c r="H696" i="20"/>
  <c r="I696" i="20" s="1"/>
  <c r="H388" i="20"/>
  <c r="I388" i="20" s="1"/>
  <c r="H243" i="20"/>
  <c r="I243" i="20" s="1"/>
  <c r="H478" i="20"/>
  <c r="I478" i="20" s="1"/>
  <c r="H235" i="20"/>
  <c r="I235" i="20" s="1"/>
  <c r="H280" i="20"/>
  <c r="H495" i="20"/>
  <c r="I495" i="20" s="1"/>
  <c r="H315" i="20"/>
  <c r="I315" i="20" s="1"/>
  <c r="H160" i="20"/>
  <c r="I160" i="20" s="1"/>
  <c r="H855" i="20"/>
  <c r="I855" i="20" s="1"/>
  <c r="H857" i="20"/>
  <c r="I857" i="20" s="1"/>
  <c r="H596" i="20"/>
  <c r="I596" i="20" s="1"/>
  <c r="H848" i="20"/>
  <c r="I848" i="20" s="1"/>
  <c r="H117" i="20"/>
  <c r="I117" i="20" s="1"/>
  <c r="H398" i="20"/>
  <c r="I398" i="20" s="1"/>
  <c r="H550" i="20"/>
  <c r="I550" i="20" s="1"/>
  <c r="H109" i="20"/>
  <c r="I109" i="20" s="1"/>
  <c r="H283" i="20"/>
  <c r="I283" i="20" s="1"/>
  <c r="H743" i="20"/>
  <c r="I743" i="20" s="1"/>
  <c r="H327" i="20"/>
  <c r="I327" i="20" s="1"/>
  <c r="H205" i="20"/>
  <c r="I205" i="20" s="1"/>
  <c r="H428" i="20"/>
  <c r="I428" i="20" s="1"/>
  <c r="H405" i="20"/>
  <c r="I405" i="20" s="1"/>
  <c r="H200" i="20"/>
  <c r="H469" i="20"/>
  <c r="I469" i="20" s="1"/>
  <c r="H154" i="20"/>
  <c r="I154" i="20" s="1"/>
  <c r="H821" i="20"/>
  <c r="I821" i="20" s="1"/>
  <c r="H281" i="20"/>
  <c r="I281" i="20" s="1"/>
  <c r="H738" i="20"/>
  <c r="I738" i="20" s="1"/>
  <c r="H303" i="20"/>
  <c r="I303" i="20" s="1"/>
  <c r="H874" i="20"/>
  <c r="I874" i="20" s="1"/>
  <c r="H747" i="20"/>
  <c r="I747" i="20" s="1"/>
  <c r="H493" i="20"/>
  <c r="I493" i="20" s="1"/>
  <c r="H578" i="20"/>
  <c r="I578" i="20" s="1"/>
  <c r="H218" i="20"/>
  <c r="I218" i="20" s="1"/>
  <c r="H397" i="20"/>
  <c r="I397" i="20" s="1"/>
  <c r="H932" i="20"/>
  <c r="I932" i="20" s="1"/>
  <c r="H479" i="20"/>
  <c r="I479" i="20" s="1"/>
  <c r="H937" i="20"/>
  <c r="I937" i="20" s="1"/>
  <c r="H498" i="20"/>
  <c r="I498" i="20" s="1"/>
  <c r="H688" i="20"/>
  <c r="I688" i="20" s="1"/>
  <c r="H752" i="20"/>
  <c r="I752" i="20" s="1"/>
  <c r="H461" i="20"/>
  <c r="I461" i="20" s="1"/>
  <c r="H159" i="20"/>
  <c r="I159" i="20" s="1"/>
  <c r="H551" i="20"/>
  <c r="I551" i="20" s="1"/>
  <c r="H195" i="20"/>
  <c r="I195" i="20" s="1"/>
  <c r="H239" i="20"/>
  <c r="I239" i="20" s="1"/>
  <c r="H460" i="20"/>
  <c r="I460" i="20" s="1"/>
  <c r="H745" i="20"/>
  <c r="I745" i="20" s="1"/>
  <c r="H291" i="20"/>
  <c r="I291" i="20" s="1"/>
  <c r="H952" i="20"/>
  <c r="I952" i="20" s="1"/>
  <c r="H651" i="20"/>
  <c r="I651" i="20" s="1"/>
  <c r="H158" i="20"/>
  <c r="I158" i="20" s="1"/>
  <c r="H198" i="20"/>
  <c r="I198" i="20" s="1"/>
  <c r="H323" i="20"/>
  <c r="I323" i="20" s="1"/>
  <c r="H334" i="20"/>
  <c r="I334" i="20" s="1"/>
  <c r="H670" i="20"/>
  <c r="I670" i="20" s="1"/>
  <c r="H113" i="20"/>
  <c r="I113" i="20" s="1"/>
  <c r="H910" i="20"/>
  <c r="I910" i="20" s="1"/>
  <c r="H242" i="20"/>
  <c r="I242" i="20" s="1"/>
  <c r="H751" i="20"/>
  <c r="I751" i="20" s="1"/>
  <c r="H244" i="20"/>
  <c r="I244" i="20" s="1"/>
  <c r="H506" i="20"/>
  <c r="I506" i="20" s="1"/>
  <c r="H567" i="20"/>
  <c r="I567" i="20" s="1"/>
  <c r="H726" i="20"/>
  <c r="H406" i="20"/>
  <c r="I406" i="20" s="1"/>
  <c r="H513" i="20"/>
  <c r="I513" i="20" s="1"/>
  <c r="H126" i="20"/>
  <c r="I126" i="20" s="1"/>
  <c r="H644" i="20"/>
  <c r="I644" i="20" s="1"/>
  <c r="H377" i="20"/>
  <c r="H333" i="20"/>
  <c r="I333" i="20" s="1"/>
  <c r="H289" i="20"/>
  <c r="H866" i="20"/>
  <c r="I866" i="20" s="1"/>
  <c r="H823" i="20"/>
  <c r="I823" i="20" s="1"/>
  <c r="H784" i="20"/>
  <c r="I784" i="20" s="1"/>
  <c r="H844" i="20"/>
  <c r="I844" i="20" s="1"/>
  <c r="H477" i="20"/>
  <c r="I477" i="20" s="1"/>
  <c r="H499" i="20"/>
  <c r="I499" i="20" s="1"/>
  <c r="H391" i="20"/>
  <c r="I391" i="20" s="1"/>
  <c r="H753" i="20"/>
  <c r="I753" i="20" s="1"/>
  <c r="H110" i="20"/>
  <c r="I110" i="20" s="1"/>
  <c r="H907" i="20"/>
  <c r="I907" i="20" s="1"/>
  <c r="H210" i="20"/>
  <c r="I210" i="20" s="1"/>
  <c r="H103" i="20"/>
  <c r="I103" i="20" s="1"/>
  <c r="H514" i="20"/>
  <c r="I514" i="20" s="1"/>
  <c r="H487" i="20"/>
  <c r="I487" i="20" s="1"/>
  <c r="H599" i="20"/>
  <c r="I599" i="20" s="1"/>
  <c r="H124" i="20"/>
  <c r="I124" i="20" s="1"/>
  <c r="H400" i="20"/>
  <c r="I400" i="20" s="1"/>
  <c r="H817" i="20"/>
  <c r="I817" i="20" s="1"/>
  <c r="H695" i="20"/>
  <c r="I695" i="20" s="1"/>
  <c r="H942" i="20"/>
  <c r="I942" i="20" s="1"/>
  <c r="H104" i="20"/>
  <c r="I104" i="20" s="1"/>
  <c r="H731" i="20"/>
  <c r="I731" i="20" s="1"/>
  <c r="H690" i="20"/>
  <c r="I690" i="20" s="1"/>
  <c r="H144" i="20"/>
  <c r="I144" i="20" s="1"/>
  <c r="H829" i="20"/>
  <c r="I829" i="20" s="1"/>
  <c r="H836" i="20"/>
  <c r="I836" i="20" s="1"/>
  <c r="H135" i="20"/>
  <c r="I135" i="20" s="1"/>
  <c r="H123" i="20"/>
  <c r="I123" i="20" s="1"/>
  <c r="H191" i="20"/>
  <c r="H948" i="20"/>
  <c r="I948" i="20" s="1"/>
  <c r="H219" i="20"/>
  <c r="I219" i="20" s="1"/>
  <c r="H918" i="20"/>
  <c r="I918" i="20" s="1"/>
  <c r="H773" i="20"/>
  <c r="I773" i="20" s="1"/>
  <c r="H929" i="20"/>
  <c r="I929" i="20" s="1"/>
  <c r="H860" i="20"/>
  <c r="I860" i="20" s="1"/>
  <c r="H643" i="20"/>
  <c r="H419" i="20"/>
  <c r="I419" i="20" s="1"/>
  <c r="H384" i="20"/>
  <c r="I384" i="20" s="1"/>
  <c r="H381" i="20"/>
  <c r="I381" i="20" s="1"/>
  <c r="H916" i="20"/>
  <c r="I916" i="20" s="1"/>
  <c r="H471" i="20"/>
  <c r="I471" i="20" s="1"/>
  <c r="H960" i="20"/>
  <c r="I960" i="20" s="1"/>
  <c r="H420" i="20"/>
  <c r="I420" i="20" s="1"/>
  <c r="H936" i="20"/>
  <c r="I936" i="20" s="1"/>
  <c r="H822" i="20"/>
  <c r="I822" i="20" s="1"/>
  <c r="H213" i="20"/>
  <c r="I213" i="20" s="1"/>
  <c r="H317" i="20"/>
  <c r="I317" i="20" s="1"/>
  <c r="H295" i="20"/>
  <c r="I295" i="20" s="1"/>
  <c r="H778" i="20"/>
  <c r="I778" i="20" s="1"/>
  <c r="H746" i="20"/>
  <c r="I746" i="20" s="1"/>
  <c r="H108" i="20"/>
  <c r="I108" i="20" s="1"/>
  <c r="H672" i="20"/>
  <c r="I672" i="20" s="1"/>
  <c r="H199" i="20"/>
  <c r="I199" i="20" s="1"/>
  <c r="H311" i="20"/>
  <c r="I311" i="20" s="1"/>
  <c r="H755" i="20"/>
  <c r="I755" i="20" s="1"/>
  <c r="H128" i="20"/>
  <c r="I128" i="20" s="1"/>
  <c r="H685" i="20"/>
  <c r="I685" i="20" s="1"/>
  <c r="H328" i="20"/>
  <c r="I328" i="20" s="1"/>
  <c r="H143" i="20"/>
  <c r="I143" i="20" s="1"/>
  <c r="H832" i="20"/>
  <c r="I832" i="20" s="1"/>
  <c r="H229" i="20"/>
  <c r="I229" i="20" s="1"/>
  <c r="H197" i="20"/>
  <c r="I197" i="20" s="1"/>
  <c r="H325" i="20"/>
  <c r="I325" i="20" s="1"/>
  <c r="H320" i="20"/>
  <c r="I320" i="20" s="1"/>
  <c r="H771" i="20"/>
  <c r="I771" i="20" s="1"/>
  <c r="H754" i="20"/>
  <c r="I754" i="20" s="1"/>
  <c r="H246" i="20"/>
  <c r="I246" i="20" s="1"/>
  <c r="H597" i="20"/>
  <c r="I597" i="20" s="1"/>
  <c r="H930" i="20"/>
  <c r="I930" i="20" s="1"/>
  <c r="H393" i="20"/>
  <c r="I393" i="20" s="1"/>
  <c r="H556" i="20"/>
  <c r="I556" i="20" s="1"/>
  <c r="H139" i="20"/>
  <c r="I139" i="20" s="1"/>
  <c r="H549" i="20"/>
  <c r="I549" i="20" s="1"/>
  <c r="H423" i="20"/>
  <c r="I423" i="20" s="1"/>
  <c r="H292" i="20"/>
  <c r="I292" i="20" s="1"/>
  <c r="H958" i="20"/>
  <c r="I958" i="20" s="1"/>
  <c r="H231" i="20"/>
  <c r="I231" i="20" s="1"/>
  <c r="H561" i="20"/>
  <c r="I561" i="20" s="1"/>
  <c r="H463" i="20"/>
  <c r="I463" i="20" s="1"/>
  <c r="H692" i="20"/>
  <c r="I692" i="20" s="1"/>
  <c r="H552" i="20"/>
  <c r="I552" i="20" s="1"/>
  <c r="H594" i="20"/>
  <c r="I594" i="20" s="1"/>
  <c r="H424" i="20"/>
  <c r="I424" i="20" s="1"/>
  <c r="H589" i="20"/>
  <c r="I589" i="20" s="1"/>
  <c r="H209" i="20"/>
  <c r="I209" i="20" s="1"/>
  <c r="H856" i="20"/>
  <c r="I856" i="20" s="1"/>
  <c r="H734" i="20"/>
  <c r="I734" i="20" s="1"/>
  <c r="H496" i="20"/>
  <c r="I496" i="20" s="1"/>
  <c r="H298" i="20"/>
  <c r="I298" i="20" s="1"/>
  <c r="H241" i="20"/>
  <c r="I241" i="20" s="1"/>
  <c r="H489" i="20"/>
  <c r="I489" i="20" s="1"/>
  <c r="H422" i="20"/>
  <c r="I422" i="20" s="1"/>
  <c r="H137" i="20"/>
  <c r="I137" i="20" s="1"/>
  <c r="H756" i="20"/>
  <c r="I756" i="20" s="1"/>
  <c r="H927" i="20"/>
  <c r="I927" i="20" s="1"/>
  <c r="H600" i="20"/>
  <c r="I600" i="20" s="1"/>
  <c r="H233" i="20"/>
  <c r="I233" i="20" s="1"/>
  <c r="H203" i="20"/>
  <c r="I203" i="20" s="1"/>
  <c r="H559" i="20"/>
  <c r="I559" i="20" s="1"/>
  <c r="H379" i="20"/>
  <c r="I379" i="20" s="1"/>
  <c r="H645" i="20"/>
  <c r="I645" i="20" s="1"/>
  <c r="H785" i="20"/>
  <c r="I785" i="20" s="1"/>
  <c r="H563" i="20"/>
  <c r="I563" i="20" s="1"/>
  <c r="H486" i="20"/>
  <c r="I486" i="20" s="1"/>
  <c r="H740" i="20"/>
  <c r="I740" i="20" s="1"/>
  <c r="H373" i="20"/>
  <c r="I373" i="20" s="1"/>
  <c r="H661" i="20"/>
  <c r="I661" i="20" s="1"/>
  <c r="H518" i="20"/>
  <c r="I518" i="20" s="1"/>
  <c r="H517" i="20"/>
  <c r="I517" i="20" s="1"/>
  <c r="H248" i="20"/>
  <c r="I248" i="20" s="1"/>
  <c r="H468" i="20"/>
  <c r="I468" i="20" s="1"/>
  <c r="H678" i="20"/>
  <c r="I678" i="20" s="1"/>
  <c r="H329" i="20"/>
  <c r="I329" i="20" s="1"/>
  <c r="H284" i="20"/>
  <c r="I284" i="20" s="1"/>
  <c r="H127" i="20"/>
  <c r="I127" i="20" s="1"/>
  <c r="H841" i="20"/>
  <c r="I841" i="20" s="1"/>
  <c r="H572" i="20"/>
  <c r="I572" i="20" s="1"/>
  <c r="H474" i="20"/>
  <c r="I474" i="20" s="1"/>
  <c r="H225" i="20"/>
  <c r="I225" i="20" s="1"/>
  <c r="H313" i="20"/>
  <c r="I313" i="20" s="1"/>
  <c r="H305" i="20"/>
  <c r="I305" i="20" s="1"/>
  <c r="H820" i="20"/>
  <c r="H825" i="20"/>
  <c r="I825" i="20" s="1"/>
  <c r="H824" i="20"/>
  <c r="I824" i="20" s="1"/>
  <c r="H671" i="20"/>
  <c r="I671" i="20" s="1"/>
  <c r="H337" i="20"/>
  <c r="I337" i="20" s="1"/>
  <c r="H662" i="20"/>
  <c r="I662" i="20" s="1"/>
  <c r="H853" i="20"/>
  <c r="I853" i="20" s="1"/>
  <c r="H339" i="20"/>
  <c r="I339" i="20" s="1"/>
  <c r="H501" i="20"/>
  <c r="I501" i="20" s="1"/>
  <c r="H409" i="20"/>
  <c r="I409" i="20" s="1"/>
  <c r="H592" i="20"/>
  <c r="I592" i="20" s="1"/>
  <c r="H207" i="20"/>
  <c r="I207" i="20" s="1"/>
  <c r="H426" i="20"/>
  <c r="I426" i="20" s="1"/>
  <c r="H472" i="20"/>
  <c r="I472" i="20" s="1"/>
  <c r="H949" i="20"/>
  <c r="I949" i="20" s="1"/>
  <c r="H772" i="20"/>
  <c r="I772" i="20" s="1"/>
  <c r="H385" i="20"/>
  <c r="I385" i="20" s="1"/>
  <c r="H372" i="20"/>
  <c r="I372" i="20" s="1"/>
  <c r="H196" i="20"/>
  <c r="I196" i="20" s="1"/>
  <c r="H410" i="20"/>
  <c r="I410" i="20" s="1"/>
  <c r="H484" i="20"/>
  <c r="I484" i="20" s="1"/>
  <c r="H961" i="20"/>
  <c r="I961" i="20" s="1"/>
  <c r="H906" i="20"/>
  <c r="M26" i="20"/>
  <c r="G429" i="20"/>
  <c r="M263" i="13"/>
  <c r="M264" i="13" s="1"/>
  <c r="M283" i="13"/>
  <c r="H421" i="13"/>
  <c r="M889" i="13"/>
  <c r="M872" i="13"/>
  <c r="M873" i="13" s="1"/>
  <c r="M715" i="13"/>
  <c r="M698" i="13"/>
  <c r="M699" i="13" s="1"/>
  <c r="I674" i="13"/>
  <c r="J674" i="13" s="1"/>
  <c r="I678" i="13"/>
  <c r="J678" i="13" s="1"/>
  <c r="I625" i="13"/>
  <c r="I672" i="13"/>
  <c r="J672" i="13" s="1"/>
  <c r="I669" i="13"/>
  <c r="J669" i="13" s="1"/>
  <c r="I665" i="13"/>
  <c r="J665" i="13" s="1"/>
  <c r="I646" i="13"/>
  <c r="J646" i="13" s="1"/>
  <c r="I677" i="13"/>
  <c r="J677" i="13" s="1"/>
  <c r="I667" i="13"/>
  <c r="J667" i="13" s="1"/>
  <c r="I642" i="13"/>
  <c r="J642" i="13" s="1"/>
  <c r="I660" i="13"/>
  <c r="J660" i="13" s="1"/>
  <c r="I628" i="13"/>
  <c r="I629" i="13"/>
  <c r="J629" i="13" s="1"/>
  <c r="I643" i="13"/>
  <c r="J643" i="13" s="1"/>
  <c r="I680" i="13"/>
  <c r="J680" i="13" s="1"/>
  <c r="I658" i="13"/>
  <c r="J658" i="13" s="1"/>
  <c r="I626" i="13"/>
  <c r="I656" i="13"/>
  <c r="J656" i="13" s="1"/>
  <c r="I644" i="13"/>
  <c r="J644" i="13" s="1"/>
  <c r="I659" i="13"/>
  <c r="J659" i="13" s="1"/>
  <c r="I681" i="13"/>
  <c r="J681" i="13" s="1"/>
  <c r="I661" i="13"/>
  <c r="J661" i="13" s="1"/>
  <c r="I675" i="13"/>
  <c r="J675" i="13" s="1"/>
  <c r="I630" i="13"/>
  <c r="J630" i="13" s="1"/>
  <c r="I671" i="13"/>
  <c r="J671" i="13" s="1"/>
  <c r="I623" i="13"/>
  <c r="I676" i="13"/>
  <c r="J676" i="13" s="1"/>
  <c r="I666" i="13"/>
  <c r="J666" i="13" s="1"/>
  <c r="I631" i="13"/>
  <c r="J631" i="13" s="1"/>
  <c r="I632" i="13"/>
  <c r="J632" i="13" s="1"/>
  <c r="I641" i="13"/>
  <c r="J641" i="13" s="1"/>
  <c r="I654" i="13"/>
  <c r="J654" i="13" s="1"/>
  <c r="I622" i="13"/>
  <c r="I635" i="13"/>
  <c r="J635" i="13" s="1"/>
  <c r="I653" i="13"/>
  <c r="J653" i="13" s="1"/>
  <c r="I652" i="13"/>
  <c r="J652" i="13" s="1"/>
  <c r="I636" i="13"/>
  <c r="J636" i="13" s="1"/>
  <c r="I663" i="13"/>
  <c r="J663" i="13" s="1"/>
  <c r="I633" i="13"/>
  <c r="J633" i="13" s="1"/>
  <c r="I650" i="13"/>
  <c r="J650" i="13" s="1"/>
  <c r="I662" i="13"/>
  <c r="J662" i="13" s="1"/>
  <c r="I668" i="13"/>
  <c r="J668" i="13" s="1"/>
  <c r="I624" i="13"/>
  <c r="I655" i="13"/>
  <c r="J655" i="13" s="1"/>
  <c r="I679" i="13"/>
  <c r="J679" i="13" s="1"/>
  <c r="I637" i="13"/>
  <c r="J637" i="13" s="1"/>
  <c r="I645" i="13"/>
  <c r="J645" i="13" s="1"/>
  <c r="I638" i="13"/>
  <c r="J638" i="13" s="1"/>
  <c r="I673" i="13"/>
  <c r="J673" i="13" s="1"/>
  <c r="I640" i="13"/>
  <c r="J640" i="13" s="1"/>
  <c r="I634" i="13"/>
  <c r="J634" i="13" s="1"/>
  <c r="I670" i="13"/>
  <c r="J670" i="13" s="1"/>
  <c r="I664" i="13"/>
  <c r="J664" i="13" s="1"/>
  <c r="I649" i="13"/>
  <c r="J649" i="13" s="1"/>
  <c r="I648" i="13"/>
  <c r="J648" i="13" s="1"/>
  <c r="I627" i="13"/>
  <c r="I651" i="13"/>
  <c r="J651" i="13" s="1"/>
  <c r="I639" i="13"/>
  <c r="J639" i="13" s="1"/>
  <c r="I647" i="13"/>
  <c r="J647" i="13" s="1"/>
  <c r="I657" i="13"/>
  <c r="J657" i="13" s="1"/>
  <c r="G161" i="20"/>
  <c r="H943" i="13"/>
  <c r="M437" i="13"/>
  <c r="M438" i="13" s="1"/>
  <c r="M454" i="13"/>
  <c r="M796" i="13"/>
  <c r="H856" i="13"/>
  <c r="G966" i="20"/>
  <c r="M959" i="13"/>
  <c r="M960" i="13" s="1"/>
  <c r="H1030" i="13"/>
  <c r="M187" i="13"/>
  <c r="H247" i="13"/>
  <c r="I380" i="13"/>
  <c r="J380" i="13" s="1"/>
  <c r="I386" i="13"/>
  <c r="J386" i="13" s="1"/>
  <c r="I377" i="13"/>
  <c r="J377" i="13" s="1"/>
  <c r="I367" i="13"/>
  <c r="I381" i="13"/>
  <c r="J381" i="13" s="1"/>
  <c r="I374" i="13"/>
  <c r="J374" i="13" s="1"/>
  <c r="I409" i="13"/>
  <c r="J409" i="13" s="1"/>
  <c r="I366" i="13"/>
  <c r="I364" i="13"/>
  <c r="I385" i="13"/>
  <c r="J385" i="13" s="1"/>
  <c r="I397" i="13"/>
  <c r="J397" i="13" s="1"/>
  <c r="I417" i="13"/>
  <c r="J417" i="13" s="1"/>
  <c r="I388" i="13"/>
  <c r="J388" i="13" s="1"/>
  <c r="I382" i="13"/>
  <c r="J382" i="13" s="1"/>
  <c r="I405" i="13"/>
  <c r="J405" i="13" s="1"/>
  <c r="I389" i="13"/>
  <c r="J389" i="13" s="1"/>
  <c r="I375" i="13"/>
  <c r="J375" i="13" s="1"/>
  <c r="I419" i="13"/>
  <c r="J419" i="13" s="1"/>
  <c r="I412" i="13"/>
  <c r="J412" i="13" s="1"/>
  <c r="I392" i="13"/>
  <c r="J392" i="13" s="1"/>
  <c r="I369" i="13"/>
  <c r="I406" i="13"/>
  <c r="J406" i="13" s="1"/>
  <c r="I408" i="13"/>
  <c r="J408" i="13" s="1"/>
  <c r="I398" i="13"/>
  <c r="J398" i="13" s="1"/>
  <c r="I383" i="13"/>
  <c r="J383" i="13" s="1"/>
  <c r="I393" i="13"/>
  <c r="J393" i="13" s="1"/>
  <c r="I415" i="13"/>
  <c r="J415" i="13" s="1"/>
  <c r="I391" i="13"/>
  <c r="J391" i="13" s="1"/>
  <c r="I400" i="13"/>
  <c r="J400" i="13" s="1"/>
  <c r="I370" i="13"/>
  <c r="J370" i="13" s="1"/>
  <c r="I365" i="13"/>
  <c r="I410" i="13"/>
  <c r="J410" i="13" s="1"/>
  <c r="I363" i="13"/>
  <c r="I362" i="13"/>
  <c r="I420" i="13"/>
  <c r="J420" i="13" s="1"/>
  <c r="I387" i="13"/>
  <c r="J387" i="13" s="1"/>
  <c r="I384" i="13"/>
  <c r="J384" i="13" s="1"/>
  <c r="I407" i="13"/>
  <c r="J407" i="13" s="1"/>
  <c r="I376" i="13"/>
  <c r="J376" i="13" s="1"/>
  <c r="I413" i="13"/>
  <c r="J413" i="13" s="1"/>
  <c r="I395" i="13"/>
  <c r="J395" i="13" s="1"/>
  <c r="I418" i="13"/>
  <c r="J418" i="13" s="1"/>
  <c r="I414" i="13"/>
  <c r="J414" i="13" s="1"/>
  <c r="I411" i="13"/>
  <c r="J411" i="13" s="1"/>
  <c r="I379" i="13"/>
  <c r="J379" i="13" s="1"/>
  <c r="I396" i="13"/>
  <c r="J396" i="13" s="1"/>
  <c r="I361" i="13"/>
  <c r="I372" i="13"/>
  <c r="J372" i="13" s="1"/>
  <c r="I403" i="13"/>
  <c r="J403" i="13" s="1"/>
  <c r="I402" i="13"/>
  <c r="J402" i="13" s="1"/>
  <c r="I390" i="13"/>
  <c r="J390" i="13" s="1"/>
  <c r="I371" i="13"/>
  <c r="J371" i="13" s="1"/>
  <c r="I373" i="13"/>
  <c r="J373" i="13" s="1"/>
  <c r="I401" i="13"/>
  <c r="J401" i="13" s="1"/>
  <c r="I399" i="13"/>
  <c r="J399" i="13" s="1"/>
  <c r="I404" i="13"/>
  <c r="J404" i="13" s="1"/>
  <c r="I378" i="13"/>
  <c r="J378" i="13" s="1"/>
  <c r="I394" i="13"/>
  <c r="J394" i="13" s="1"/>
  <c r="I368" i="13"/>
  <c r="I416" i="13"/>
  <c r="J416" i="13" s="1"/>
  <c r="O369" i="13" l="1"/>
  <c r="P369" i="13" s="1"/>
  <c r="N350" i="13"/>
  <c r="J369" i="13"/>
  <c r="O194" i="13"/>
  <c r="P194" i="13" s="1"/>
  <c r="J194" i="13"/>
  <c r="J366" i="13"/>
  <c r="O366" i="13"/>
  <c r="P366" i="13" s="1"/>
  <c r="H966" i="20"/>
  <c r="I906" i="20"/>
  <c r="J361" i="13"/>
  <c r="I421" i="13"/>
  <c r="J365" i="13"/>
  <c r="O365" i="13"/>
  <c r="P365" i="13" s="1"/>
  <c r="I111" i="20"/>
  <c r="N89" i="20"/>
  <c r="O889" i="13"/>
  <c r="P889" i="13" s="1"/>
  <c r="N872" i="13"/>
  <c r="J889" i="13"/>
  <c r="O187" i="13"/>
  <c r="P187" i="13" s="1"/>
  <c r="I247" i="13"/>
  <c r="J187" i="13"/>
  <c r="J713" i="13"/>
  <c r="O713" i="13"/>
  <c r="P713" i="13" s="1"/>
  <c r="J279" i="13"/>
  <c r="O279" i="13"/>
  <c r="P279" i="13" s="1"/>
  <c r="O275" i="13"/>
  <c r="P275" i="13" s="1"/>
  <c r="J275" i="13"/>
  <c r="O276" i="13"/>
  <c r="P276" i="13" s="1"/>
  <c r="J276" i="13"/>
  <c r="J281" i="13"/>
  <c r="O281" i="13"/>
  <c r="P281" i="13" s="1"/>
  <c r="O539" i="13"/>
  <c r="P539" i="13" s="1"/>
  <c r="J539" i="13"/>
  <c r="I191" i="20"/>
  <c r="H251" i="20"/>
  <c r="I465" i="20"/>
  <c r="N447" i="20"/>
  <c r="N448" i="20" s="1"/>
  <c r="O448" i="13"/>
  <c r="P448" i="13" s="1"/>
  <c r="J448" i="13"/>
  <c r="I508" i="13"/>
  <c r="N357" i="20"/>
  <c r="N358" i="20" s="1"/>
  <c r="I377" i="20"/>
  <c r="I280" i="20"/>
  <c r="H340" i="20"/>
  <c r="H697" i="20"/>
  <c r="I637" i="20"/>
  <c r="H875" i="20"/>
  <c r="I815" i="20"/>
  <c r="I369" i="20"/>
  <c r="H429" i="20"/>
  <c r="O888" i="13"/>
  <c r="P888" i="13" s="1"/>
  <c r="J888" i="13"/>
  <c r="J798" i="13"/>
  <c r="O798" i="13"/>
  <c r="P798" i="13" s="1"/>
  <c r="J799" i="13"/>
  <c r="O799" i="13"/>
  <c r="P799" i="13" s="1"/>
  <c r="J801" i="13"/>
  <c r="N785" i="13"/>
  <c r="O801" i="13"/>
  <c r="P801" i="13" s="1"/>
  <c r="J710" i="13"/>
  <c r="O710" i="13"/>
  <c r="P710" i="13" s="1"/>
  <c r="O711" i="13"/>
  <c r="P711" i="13" s="1"/>
  <c r="J711" i="13"/>
  <c r="O709" i="13"/>
  <c r="P709" i="13" s="1"/>
  <c r="I769" i="13"/>
  <c r="J709" i="13"/>
  <c r="O277" i="13"/>
  <c r="P277" i="13" s="1"/>
  <c r="J277" i="13"/>
  <c r="O278" i="13"/>
  <c r="P278" i="13" s="1"/>
  <c r="J278" i="13"/>
  <c r="O280" i="13"/>
  <c r="P280" i="13" s="1"/>
  <c r="J280" i="13"/>
  <c r="O537" i="13"/>
  <c r="P537" i="13" s="1"/>
  <c r="J537" i="13"/>
  <c r="N611" i="13"/>
  <c r="O628" i="13"/>
  <c r="P628" i="13" s="1"/>
  <c r="J628" i="13"/>
  <c r="O715" i="13"/>
  <c r="P715" i="13" s="1"/>
  <c r="N698" i="13"/>
  <c r="J715" i="13"/>
  <c r="J367" i="13"/>
  <c r="O367" i="13"/>
  <c r="P367" i="13" s="1"/>
  <c r="J624" i="13"/>
  <c r="O624" i="13"/>
  <c r="P624" i="13" s="1"/>
  <c r="J625" i="13"/>
  <c r="O625" i="13"/>
  <c r="P625" i="13" s="1"/>
  <c r="N625" i="20"/>
  <c r="N626" i="20" s="1"/>
  <c r="I643" i="20"/>
  <c r="N894" i="20"/>
  <c r="N895" i="20" s="1"/>
  <c r="I912" i="20"/>
  <c r="O189" i="13"/>
  <c r="P189" i="13" s="1"/>
  <c r="J189" i="13"/>
  <c r="O190" i="13"/>
  <c r="P190" i="13" s="1"/>
  <c r="J190" i="13"/>
  <c r="O192" i="13"/>
  <c r="P192" i="13" s="1"/>
  <c r="J192" i="13"/>
  <c r="J800" i="13"/>
  <c r="O800" i="13"/>
  <c r="P800" i="13" s="1"/>
  <c r="O714" i="13"/>
  <c r="P714" i="13" s="1"/>
  <c r="J714" i="13"/>
  <c r="O283" i="13"/>
  <c r="P283" i="13" s="1"/>
  <c r="N263" i="13"/>
  <c r="J283" i="13"/>
  <c r="J107" i="13"/>
  <c r="O107" i="13"/>
  <c r="P107" i="13" s="1"/>
  <c r="O108" i="13"/>
  <c r="P108" i="13" s="1"/>
  <c r="J108" i="13"/>
  <c r="O538" i="13"/>
  <c r="P538" i="13" s="1"/>
  <c r="J538" i="13"/>
  <c r="O536" i="13"/>
  <c r="P536" i="13" s="1"/>
  <c r="J536" i="13"/>
  <c r="O541" i="13"/>
  <c r="P541" i="13" s="1"/>
  <c r="N524" i="13"/>
  <c r="J541" i="13"/>
  <c r="O540" i="13"/>
  <c r="P540" i="13" s="1"/>
  <c r="J540" i="13"/>
  <c r="J454" i="13"/>
  <c r="N437" i="13"/>
  <c r="O454" i="13"/>
  <c r="P454" i="13" s="1"/>
  <c r="J451" i="13"/>
  <c r="O451" i="13"/>
  <c r="P451" i="13" s="1"/>
  <c r="J109" i="13"/>
  <c r="O109" i="13"/>
  <c r="P109" i="13" s="1"/>
  <c r="J368" i="13"/>
  <c r="O368" i="13"/>
  <c r="P368" i="13" s="1"/>
  <c r="I459" i="20"/>
  <c r="I519" i="20" s="1"/>
  <c r="H519" i="20"/>
  <c r="J195" i="13"/>
  <c r="O195" i="13"/>
  <c r="P195" i="13" s="1"/>
  <c r="J100" i="13"/>
  <c r="I160" i="13"/>
  <c r="O449" i="13"/>
  <c r="P449" i="13" s="1"/>
  <c r="J449" i="13"/>
  <c r="J450" i="13"/>
  <c r="O450" i="13"/>
  <c r="P450" i="13" s="1"/>
  <c r="O104" i="13"/>
  <c r="P104" i="13" s="1"/>
  <c r="J104" i="13"/>
  <c r="O623" i="13"/>
  <c r="P623" i="13" s="1"/>
  <c r="J623" i="13"/>
  <c r="J362" i="13"/>
  <c r="O362" i="13"/>
  <c r="P362" i="13" s="1"/>
  <c r="J622" i="13"/>
  <c r="I682" i="13"/>
  <c r="O622" i="13"/>
  <c r="P622" i="13" s="1"/>
  <c r="O626" i="13"/>
  <c r="P626" i="13" s="1"/>
  <c r="J626" i="13"/>
  <c r="N803" i="20"/>
  <c r="N804" i="20" s="1"/>
  <c r="I820" i="20"/>
  <c r="J883" i="13"/>
  <c r="I943" i="13"/>
  <c r="O887" i="13"/>
  <c r="P887" i="13" s="1"/>
  <c r="J887" i="13"/>
  <c r="O191" i="13"/>
  <c r="P191" i="13" s="1"/>
  <c r="J191" i="13"/>
  <c r="J193" i="13"/>
  <c r="O193" i="13"/>
  <c r="P193" i="13" s="1"/>
  <c r="O274" i="13"/>
  <c r="P274" i="13" s="1"/>
  <c r="I334" i="13"/>
  <c r="J274" i="13"/>
  <c r="O105" i="13"/>
  <c r="P105" i="13" s="1"/>
  <c r="J105" i="13"/>
  <c r="N959" i="13"/>
  <c r="I1030" i="13"/>
  <c r="J970" i="13"/>
  <c r="J1030" i="13" s="1"/>
  <c r="I595" i="13"/>
  <c r="J535" i="13"/>
  <c r="O535" i="13"/>
  <c r="P535" i="13" s="1"/>
  <c r="J452" i="13"/>
  <c r="O452" i="13"/>
  <c r="P452" i="13" s="1"/>
  <c r="N176" i="13"/>
  <c r="J196" i="13"/>
  <c r="O196" i="13"/>
  <c r="P196" i="13" s="1"/>
  <c r="O363" i="13"/>
  <c r="P363" i="13" s="1"/>
  <c r="J363" i="13"/>
  <c r="O364" i="13"/>
  <c r="P364" i="13" s="1"/>
  <c r="J364" i="13"/>
  <c r="J627" i="13"/>
  <c r="O627" i="13"/>
  <c r="P627" i="13" s="1"/>
  <c r="H786" i="20"/>
  <c r="I726" i="20"/>
  <c r="I101" i="20"/>
  <c r="I161" i="20" s="1"/>
  <c r="H161" i="20"/>
  <c r="N536" i="20"/>
  <c r="N537" i="20" s="1"/>
  <c r="I554" i="20"/>
  <c r="I548" i="20"/>
  <c r="H608" i="20"/>
  <c r="J797" i="13"/>
  <c r="O797" i="13"/>
  <c r="P797" i="13" s="1"/>
  <c r="I856" i="13"/>
  <c r="J796" i="13"/>
  <c r="O796" i="13"/>
  <c r="P796" i="13" s="1"/>
  <c r="O712" i="13"/>
  <c r="P712" i="13" s="1"/>
  <c r="J712" i="13"/>
  <c r="J282" i="13"/>
  <c r="O282" i="13"/>
  <c r="P282" i="13" s="1"/>
  <c r="J106" i="13"/>
  <c r="O106" i="13"/>
  <c r="P106" i="13" s="1"/>
  <c r="I732" i="20"/>
  <c r="N714" i="20"/>
  <c r="N715" i="20" s="1"/>
  <c r="J886" i="13"/>
  <c r="O886" i="13"/>
  <c r="P886" i="13" s="1"/>
  <c r="N268" i="20"/>
  <c r="N269" i="20" s="1"/>
  <c r="I289" i="20"/>
  <c r="N179" i="20"/>
  <c r="N180" i="20" s="1"/>
  <c r="I200" i="20"/>
  <c r="J188" i="13"/>
  <c r="O188" i="13"/>
  <c r="P188" i="13" s="1"/>
  <c r="O110" i="13"/>
  <c r="P110" i="13" s="1"/>
  <c r="N89" i="13"/>
  <c r="J110" i="13"/>
  <c r="N22" i="13"/>
  <c r="M90" i="13"/>
  <c r="O453" i="13"/>
  <c r="P453" i="13" s="1"/>
  <c r="J453" i="13"/>
  <c r="J682" i="13" l="1"/>
  <c r="I875" i="20"/>
  <c r="J856" i="13"/>
  <c r="J595" i="13"/>
  <c r="I429" i="20"/>
  <c r="J334" i="13"/>
  <c r="O698" i="13"/>
  <c r="O699" i="13" s="1"/>
  <c r="N699" i="13"/>
  <c r="J508" i="13"/>
  <c r="N90" i="20"/>
  <c r="N26" i="20"/>
  <c r="O26" i="20" s="1"/>
  <c r="L36" i="2" s="1"/>
  <c r="N438" i="13"/>
  <c r="O437" i="13"/>
  <c r="O438" i="13" s="1"/>
  <c r="O263" i="13"/>
  <c r="O264" i="13" s="1"/>
  <c r="N264" i="13"/>
  <c r="I697" i="20"/>
  <c r="J943" i="13"/>
  <c r="J247" i="13"/>
  <c r="I786" i="20"/>
  <c r="G24" i="2"/>
  <c r="L24" i="2" s="1"/>
  <c r="N23" i="13"/>
  <c r="O611" i="13"/>
  <c r="O612" i="13" s="1"/>
  <c r="N612" i="13"/>
  <c r="I340" i="20"/>
  <c r="O176" i="13"/>
  <c r="O177" i="13" s="1"/>
  <c r="N177" i="13"/>
  <c r="N960" i="13"/>
  <c r="O959" i="13"/>
  <c r="O960" i="13" s="1"/>
  <c r="J160" i="13"/>
  <c r="J769" i="13"/>
  <c r="O785" i="13"/>
  <c r="O786" i="13" s="1"/>
  <c r="N786" i="13"/>
  <c r="I251" i="20"/>
  <c r="J421" i="13"/>
  <c r="N351" i="13"/>
  <c r="O350" i="13"/>
  <c r="O351" i="13" s="1"/>
  <c r="O22" i="13"/>
  <c r="O89" i="13"/>
  <c r="O90" i="13" s="1"/>
  <c r="N90" i="13"/>
  <c r="I608" i="20"/>
  <c r="O524" i="13"/>
  <c r="O525" i="13" s="1"/>
  <c r="N525" i="13"/>
  <c r="N873" i="13"/>
  <c r="O872" i="13"/>
  <c r="O873" i="13" s="1"/>
  <c r="I966" i="20"/>
  <c r="P22" i="13" l="1"/>
  <c r="P23" i="13" s="1"/>
  <c r="O23" i="13"/>
</calcChain>
</file>

<file path=xl/sharedStrings.xml><?xml version="1.0" encoding="utf-8"?>
<sst xmlns="http://schemas.openxmlformats.org/spreadsheetml/2006/main" count="2889" uniqueCount="1040">
  <si>
    <t>Other Adjustments</t>
  </si>
  <si>
    <t xml:space="preserve">           Acct. 928 - Transmission Specific</t>
  </si>
  <si>
    <t>FERC FORM 1</t>
  </si>
  <si>
    <t>Tie-Back</t>
  </si>
  <si>
    <t>FERC FORM 1 Reference</t>
  </si>
  <si>
    <t>P.263 ln 6 (i)</t>
  </si>
  <si>
    <t>P.263 ln 27 (i)</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</si>
  <si>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</si>
  <si>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</si>
  <si>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</si>
  <si>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</si>
  <si>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</si>
  <si>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</si>
  <si>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</si>
  <si>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</si>
  <si>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</si>
  <si>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</si>
  <si>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</si>
  <si>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</si>
  <si>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</si>
  <si>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</si>
  <si>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</si>
  <si>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</si>
  <si>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</si>
  <si>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</si>
  <si>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</si>
  <si>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</si>
  <si>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</si>
  <si>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</si>
  <si>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</si>
  <si>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</si>
  <si>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</si>
  <si>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</si>
  <si>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</si>
  <si>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</si>
  <si>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</si>
  <si>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</si>
  <si>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</si>
  <si>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</si>
  <si>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</si>
  <si>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</si>
  <si>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</si>
  <si>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</si>
  <si>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</si>
  <si>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</si>
  <si>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</si>
  <si>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</si>
  <si>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</si>
  <si>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</si>
  <si>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</si>
  <si>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</si>
  <si>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</si>
  <si>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</si>
  <si>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</si>
  <si>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</si>
  <si>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</si>
  <si>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</si>
  <si>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</si>
  <si>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</si>
  <si>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</si>
  <si>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</si>
  <si>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</si>
  <si>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</si>
  <si>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</si>
  <si>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</si>
  <si>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</si>
  <si>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</si>
  <si>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</si>
  <si>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</si>
  <si>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</si>
  <si>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</si>
  <si>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</si>
  <si>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</si>
  <si>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</si>
  <si>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</si>
  <si>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</si>
  <si>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</si>
  <si>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</si>
  <si>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</si>
  <si>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</si>
  <si>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</si>
  <si>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</si>
  <si>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</si>
  <si>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</si>
  <si>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</si>
  <si>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</si>
  <si>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</si>
  <si>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</si>
  <si>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</si>
  <si>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</si>
  <si>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</si>
  <si>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</si>
  <si>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</si>
  <si>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</si>
  <si>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</si>
  <si>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</si>
  <si>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</si>
  <si>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</si>
  <si>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</si>
  <si>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</si>
  <si>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</si>
  <si>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</si>
  <si>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</si>
  <si>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</si>
  <si>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</si>
  <si>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</si>
  <si>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</si>
  <si>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</si>
  <si>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</si>
  <si>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</si>
  <si>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</si>
  <si>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</si>
  <si>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</si>
  <si>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</si>
  <si>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</si>
  <si>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</si>
  <si>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</si>
  <si>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</si>
  <si>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</si>
  <si>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</si>
  <si>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</si>
  <si>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</si>
  <si>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</si>
  <si>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</si>
  <si>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</si>
  <si>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</si>
  <si>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</si>
  <si>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</si>
  <si>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</si>
  <si>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</si>
  <si>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</si>
  <si>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</si>
  <si>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</si>
  <si>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</si>
  <si>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</si>
  <si>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</si>
  <si>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</si>
  <si>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</si>
  <si>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</si>
  <si>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</si>
  <si>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</si>
  <si>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</si>
  <si>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</si>
  <si>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</si>
  <si>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</si>
  <si>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</si>
  <si>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</si>
  <si>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</si>
  <si>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</si>
  <si>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</si>
  <si>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</si>
  <si>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</si>
  <si>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</si>
  <si>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</si>
  <si>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</si>
  <si>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</si>
  <si>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</si>
  <si>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</si>
  <si>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</si>
  <si>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</si>
  <si>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</si>
  <si>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</si>
  <si>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</si>
  <si>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</si>
  <si>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</si>
  <si>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</si>
  <si>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</si>
  <si>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</si>
  <si>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</si>
  <si>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</si>
  <si>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</si>
  <si>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</si>
  <si>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</si>
  <si>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</si>
  <si>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</si>
  <si>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</si>
  <si>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</si>
  <si>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</si>
  <si>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</si>
  <si>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</si>
  <si>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</si>
  <si>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</si>
  <si>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</si>
  <si>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</si>
  <si>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</si>
  <si>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</si>
  <si>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</si>
  <si>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</si>
  <si>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</si>
  <si>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</si>
  <si>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</si>
  <si>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</si>
  <si>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</si>
  <si>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</si>
  <si>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</si>
  <si>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</si>
  <si>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</si>
  <si>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</si>
  <si>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</si>
  <si>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</si>
  <si>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</si>
  <si>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</si>
  <si>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</si>
  <si>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</si>
  <si>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</si>
  <si>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</si>
  <si>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</si>
  <si>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</si>
  <si>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</si>
  <si>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</si>
  <si>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</si>
  <si>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</si>
  <si>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</si>
  <si>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</si>
  <si>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</si>
  <si>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</si>
  <si>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</si>
  <si>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</si>
  <si>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</si>
  <si>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</si>
  <si>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</si>
  <si>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</si>
  <si>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</si>
  <si>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</si>
  <si>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</si>
  <si>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</si>
  <si>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</si>
  <si>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</si>
  <si>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</si>
  <si>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</si>
  <si>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</si>
  <si>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</si>
  <si>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</si>
  <si>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</si>
  <si>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</si>
  <si>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</si>
  <si>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</si>
  <si>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</si>
  <si>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</si>
  <si>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</si>
  <si>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</si>
  <si>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</si>
  <si>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</si>
  <si>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</si>
  <si>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</si>
  <si>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</si>
  <si>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</si>
  <si>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</si>
  <si>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</si>
  <si>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</si>
  <si>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</si>
  <si>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</si>
  <si>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</si>
  <si>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</si>
  <si>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</si>
  <si>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</si>
  <si>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</si>
  <si>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</si>
  <si>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</si>
  <si>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</si>
  <si>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</si>
  <si>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</si>
  <si>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</si>
  <si>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</si>
  <si>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</si>
  <si>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</si>
  <si>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</si>
  <si>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</si>
  <si>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</si>
  <si>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</si>
  <si>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</si>
  <si>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</si>
  <si>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</si>
  <si>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</si>
  <si>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</si>
  <si>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</si>
  <si>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</si>
  <si>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</si>
  <si>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</si>
  <si>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</si>
  <si>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</si>
  <si>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</si>
  <si>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</si>
  <si>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</si>
  <si>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</si>
  <si>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</si>
  <si>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</si>
  <si>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</si>
  <si>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</si>
  <si>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</si>
  <si>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</si>
  <si>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</si>
  <si>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</si>
  <si>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</si>
  <si>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</si>
  <si>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</si>
  <si>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</si>
  <si>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</si>
  <si>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</si>
  <si>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</si>
  <si>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</si>
  <si>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</si>
  <si>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</si>
  <si>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</si>
  <si>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</si>
  <si>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</si>
  <si>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</si>
  <si>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</si>
  <si>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</si>
  <si>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</si>
  <si>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</si>
  <si>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</si>
  <si>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</si>
  <si>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</si>
  <si>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</si>
  <si>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</si>
  <si>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</si>
  <si>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</si>
  <si>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</si>
  <si>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</si>
  <si>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</si>
  <si>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</si>
  <si>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</si>
  <si>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</si>
  <si>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</si>
  <si>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</si>
  <si>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</si>
  <si>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</si>
  <si>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</si>
  <si>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</si>
  <si>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</si>
  <si>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</si>
  <si>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</si>
  <si>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</si>
  <si>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</si>
  <si>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</si>
  <si>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</si>
  <si>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</si>
  <si>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</si>
  <si>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</si>
  <si>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</si>
  <si>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</si>
  <si>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</si>
  <si>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</si>
  <si>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</si>
  <si>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</si>
  <si>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</si>
  <si>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</si>
  <si>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</si>
  <si>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</si>
  <si>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</si>
  <si>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</si>
  <si>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</si>
  <si>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</si>
  <si>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</si>
  <si>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</si>
  <si>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</si>
  <si>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</si>
  <si>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</si>
  <si>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</si>
  <si>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</si>
  <si>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</si>
  <si>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</si>
  <si>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</si>
  <si>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</si>
  <si>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</si>
  <si>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</si>
  <si>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</si>
  <si>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</si>
  <si>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</si>
  <si>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</si>
  <si>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</si>
  <si>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</si>
  <si>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</si>
  <si>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</si>
  <si>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</si>
  <si>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</si>
  <si>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</si>
  <si>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</si>
  <si>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</si>
  <si>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</si>
  <si>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</si>
  <si>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</si>
  <si>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</si>
  <si>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</si>
  <si>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</si>
  <si>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</si>
  <si>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</si>
  <si>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</si>
  <si>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</si>
  <si>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</si>
  <si>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</si>
  <si>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</si>
  <si>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</si>
  <si>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</si>
  <si>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</si>
  <si>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</si>
  <si>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</si>
  <si>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</si>
  <si>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</si>
  <si>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</si>
  <si>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</si>
  <si>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</si>
  <si>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</si>
  <si>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</si>
  <si>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</si>
  <si>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</si>
  <si>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</si>
  <si>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</si>
  <si>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</si>
  <si>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</si>
  <si>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</si>
  <si>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</si>
  <si>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</si>
  <si>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</si>
  <si>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</si>
  <si>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</si>
  <si>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</si>
  <si>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</si>
  <si>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</si>
  <si>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</si>
  <si>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</si>
  <si>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</si>
  <si>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</si>
  <si>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</si>
  <si>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</si>
  <si>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</si>
  <si>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</si>
  <si>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</si>
  <si>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</si>
  <si>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</si>
  <si>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</si>
  <si>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</si>
  <si>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</si>
  <si>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</si>
  <si>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</si>
  <si>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</si>
  <si>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</si>
  <si>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</si>
  <si>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</si>
  <si>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</si>
  <si>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</si>
  <si>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</si>
  <si>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</si>
  <si>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</si>
  <si>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</si>
  <si>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</si>
  <si>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</si>
  <si>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</si>
  <si>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</si>
  <si>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</si>
  <si>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</si>
  <si>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</si>
  <si>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</si>
  <si>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</si>
  <si>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</si>
  <si>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</si>
  <si>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</si>
  <si>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</si>
  <si>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</si>
  <si>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</si>
  <si>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</si>
  <si>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</si>
  <si>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</si>
  <si>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</si>
  <si>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</si>
  <si>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</si>
  <si>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</si>
  <si>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</si>
  <si>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</si>
  <si>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</si>
  <si>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</si>
  <si>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</si>
  <si>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</si>
  <si>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</si>
  <si>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</si>
  <si>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</si>
  <si>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</si>
  <si>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</si>
  <si>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</si>
  <si>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</si>
  <si>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</si>
  <si>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</si>
  <si>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</si>
  <si>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</si>
  <si>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</si>
  <si>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</si>
  <si>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</si>
  <si>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</si>
  <si>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</si>
  <si>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</si>
  <si>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</si>
  <si>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</si>
  <si>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</si>
  <si>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</si>
  <si>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</si>
  <si>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</si>
  <si>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</si>
  <si>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</si>
  <si>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</si>
  <si>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</si>
  <si>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</si>
  <si>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</si>
  <si>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</si>
  <si>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</si>
  <si>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</si>
  <si>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</si>
  <si>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</si>
  <si>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</si>
  <si>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</si>
  <si>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</si>
  <si>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</si>
  <si>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</si>
  <si>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</si>
  <si>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</si>
  <si>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</si>
  <si>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</si>
  <si>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</si>
  <si>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</si>
  <si>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</si>
  <si>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</si>
  <si>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</si>
  <si>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</si>
  <si>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</si>
  <si>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</si>
  <si>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</si>
  <si>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</si>
  <si>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</si>
  <si>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</si>
  <si>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</si>
  <si>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</si>
  <si>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</si>
  <si>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</si>
  <si>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</si>
  <si>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</si>
  <si>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</si>
  <si>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</si>
  <si>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</si>
  <si>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</si>
  <si>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</si>
  <si>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</si>
  <si>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</si>
  <si>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</si>
  <si>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</si>
  <si>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</si>
  <si>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</si>
  <si>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</si>
  <si>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</si>
  <si>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</si>
  <si>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</si>
  <si>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</si>
  <si>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</si>
  <si>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</si>
  <si>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</si>
  <si>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</si>
  <si>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</si>
  <si>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</si>
  <si>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</si>
  <si>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</si>
  <si>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</si>
  <si>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</si>
  <si>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</si>
  <si>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</si>
  <si>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</si>
  <si>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</si>
  <si>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</si>
  <si>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</si>
  <si>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</si>
  <si>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</si>
  <si>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</si>
  <si>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</si>
  <si>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</si>
  <si>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</si>
  <si>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</si>
  <si>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</si>
  <si>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</si>
  <si>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</si>
  <si>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</si>
  <si>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</si>
  <si>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</si>
  <si>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</si>
  <si>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</si>
  <si>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</si>
  <si>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</si>
  <si>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</si>
  <si>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</si>
  <si>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</si>
  <si>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</si>
  <si>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</si>
  <si>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</si>
  <si>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</si>
  <si>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</si>
  <si>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</si>
  <si>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</si>
  <si>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</si>
  <si>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</si>
  <si>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</si>
  <si>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</si>
  <si>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</si>
  <si>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</si>
  <si>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</si>
  <si>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</si>
  <si>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</si>
  <si>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</si>
  <si>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</si>
  <si>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</si>
  <si>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</si>
  <si>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</si>
  <si>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</si>
  <si>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</si>
  <si>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</si>
  <si>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</si>
  <si>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</si>
  <si>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</si>
  <si>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</si>
  <si>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</si>
  <si>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</si>
  <si>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</si>
  <si>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</si>
  <si>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</si>
  <si>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</si>
  <si>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</si>
  <si>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</si>
  <si>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</si>
  <si>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</si>
  <si>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</si>
  <si>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</si>
  <si>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</si>
  <si>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</si>
  <si>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</si>
  <si>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</si>
  <si>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</si>
  <si>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</si>
  <si>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</si>
  <si>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</si>
  <si>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</si>
  <si>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</si>
  <si>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</si>
  <si>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</si>
  <si>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</si>
  <si>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</si>
  <si>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</si>
  <si>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</si>
  <si>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</si>
  <si>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</si>
  <si>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</si>
  <si>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</si>
  <si>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</si>
  <si>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</si>
  <si>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</si>
  <si>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</si>
  <si>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</si>
  <si>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</si>
  <si>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</si>
  <si>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</si>
  <si>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</si>
  <si>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</si>
  <si>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</si>
  <si>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</si>
  <si>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</si>
  <si>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</si>
  <si>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</si>
  <si>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</si>
  <si>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</si>
  <si>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</si>
  <si>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</si>
  <si>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</si>
  <si>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</si>
  <si>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</si>
  <si>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</si>
  <si>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</si>
  <si>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</si>
  <si>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</si>
  <si>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</si>
  <si>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</si>
  <si>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</si>
  <si>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</si>
  <si>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</si>
  <si>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</si>
  <si>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</si>
  <si>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</si>
  <si>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</si>
  <si>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</si>
  <si>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</si>
  <si>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</si>
  <si>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</si>
  <si>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</si>
  <si>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</si>
  <si>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</si>
  <si>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</si>
  <si>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</si>
  <si>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</si>
  <si>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</si>
  <si>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</si>
  <si>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</si>
  <si>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</si>
  <si>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</si>
  <si>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</si>
  <si>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</si>
  <si>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</si>
  <si>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</si>
  <si>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</si>
  <si>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</si>
  <si>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</si>
  <si>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</si>
  <si>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</si>
  <si>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</si>
  <si>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</si>
  <si>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</si>
  <si>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</si>
  <si>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</si>
  <si>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</si>
  <si>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</si>
  <si>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</si>
  <si>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</si>
  <si>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</si>
  <si>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</si>
  <si>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</si>
  <si>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</si>
  <si>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</si>
  <si>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</si>
  <si>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</si>
  <si>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</si>
  <si>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</si>
  <si>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</si>
  <si>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</si>
  <si>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</si>
  <si>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</si>
  <si>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</si>
  <si>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</si>
  <si>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</si>
  <si>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</si>
  <si>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</si>
  <si>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</si>
  <si>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</si>
  <si>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</si>
  <si>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</si>
  <si>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</si>
  <si>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</si>
  <si>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</si>
  <si>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</si>
  <si>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</si>
  <si>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</si>
  <si>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</si>
  <si>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</si>
  <si>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</si>
  <si>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</si>
  <si>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</si>
  <si>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</si>
  <si>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</si>
  <si>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</si>
  <si>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</si>
  <si>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</si>
  <si>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</si>
  <si>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</si>
  <si>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</si>
  <si>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</si>
  <si>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</si>
  <si>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</si>
  <si>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</si>
  <si>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</si>
  <si>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</si>
  <si>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</si>
  <si>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</si>
  <si>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</si>
  <si>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</si>
  <si>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</si>
  <si>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</si>
  <si>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</si>
  <si>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</si>
  <si>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</si>
  <si>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</si>
  <si>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</si>
  <si>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</si>
  <si>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</si>
  <si>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</si>
  <si>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</si>
  <si>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</si>
  <si>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</si>
  <si>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</si>
  <si>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</si>
  <si>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</si>
  <si>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</si>
  <si>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</si>
  <si>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</si>
  <si>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</si>
  <si>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</si>
  <si>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</si>
  <si>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</si>
  <si>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</si>
  <si>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</si>
  <si>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</si>
  <si>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</si>
  <si>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</si>
  <si>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</si>
  <si>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</si>
  <si>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</si>
  <si>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</si>
  <si>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</si>
  <si>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</si>
  <si>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</si>
  <si>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</si>
  <si>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</si>
  <si>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</si>
  <si>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</si>
  <si>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</si>
  <si>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</si>
  <si>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</si>
  <si>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</si>
  <si>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</si>
  <si>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</si>
  <si>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</si>
  <si>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</si>
  <si>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</si>
  <si>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</si>
  <si>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</si>
  <si>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</si>
  <si>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</si>
  <si>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</si>
  <si>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</si>
  <si>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</si>
  <si>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</si>
  <si>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</si>
  <si>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</si>
  <si>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</si>
  <si>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</si>
  <si>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</si>
  <si>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</si>
  <si>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</si>
  <si>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</si>
  <si>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</si>
  <si>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</si>
  <si>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</si>
  <si>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</si>
  <si>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</si>
  <si>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</si>
  <si>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</si>
  <si>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</si>
  <si>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</si>
  <si>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</si>
  <si>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</si>
  <si>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</si>
  <si>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</si>
  <si>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</si>
  <si>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</si>
  <si>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</si>
  <si>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</si>
  <si>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</si>
  <si>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</si>
  <si>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</si>
  <si>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</si>
  <si>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</si>
  <si>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</si>
  <si>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</si>
  <si>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</si>
  <si>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9302003</t>
  </si>
  <si>
    <t>9302007</t>
  </si>
  <si>
    <t>RTEP ID: b1465.5 (Switching Improvements at Sullivan Jefferson 765kV stations)</t>
  </si>
  <si>
    <t>NOL &amp; TAX CREDIT C/F - DEF TAX ASSET</t>
  </si>
  <si>
    <t>INT EXP CAPITALIZED FOR TAX</t>
  </si>
  <si>
    <t>CIAC - BOOK RECEIPTS</t>
  </si>
  <si>
    <t>PROV POSS REV REFDS</t>
  </si>
  <si>
    <t>ACCRD COMPANYWIDE INCENTV PLAN</t>
  </si>
  <si>
    <t xml:space="preserve">NON-UTILITY DEFERRED FIT </t>
  </si>
  <si>
    <t>SFAS 109 FLOW-THRU 190.3</t>
  </si>
  <si>
    <t>SFAS 109 EXCESS DFIT 190.4</t>
  </si>
  <si>
    <t>SFAS 133 ADIT FED - SFAS NONAFFIL 1900006</t>
  </si>
  <si>
    <t>ADIT FED - PENSION OCI NAF 1900009</t>
  </si>
  <si>
    <t>ADIT-FED-HDG-CF-INT RATE1900015</t>
  </si>
  <si>
    <t>BOOK VS. TAX DEPRECIATION</t>
  </si>
  <si>
    <t>R &amp; D DEDUCTION - SECTION 174</t>
  </si>
  <si>
    <t>GAIN/LOSS ON ACRS/MACRS PROPERTY</t>
  </si>
  <si>
    <t>ABFUDC</t>
  </si>
  <si>
    <t>BOOK/TAX UNIT OF PROPERTY ADJ</t>
  </si>
  <si>
    <t>BK/TX UNIT OF PROPERTY ADJ-SEC 481 ADJ</t>
  </si>
  <si>
    <t>TX ACCEL AMORT - CAPITALIZED SOFTWARE</t>
  </si>
  <si>
    <t>CAPITALIZED RELOCATION COSTS</t>
  </si>
  <si>
    <t>CAPITALIZED SOFTWARE COST-BOOK</t>
  </si>
  <si>
    <t>REMOVAL CST</t>
  </si>
  <si>
    <t>EXCESS ADFIT - PROTECTED</t>
  </si>
  <si>
    <t>EXCESS ADFIT - UNPROTECTED</t>
  </si>
  <si>
    <t>SFAS 109 FLOW-THRU 282.3</t>
  </si>
  <si>
    <t>SFAS 109 EXCESS DFIT 282.4</t>
  </si>
  <si>
    <t>REG ASSET-TRANSCO PRE-FORMATION COSTS</t>
  </si>
  <si>
    <t>NON-UTILITY DEFERRED FIT 283.2</t>
  </si>
  <si>
    <t>SFAS 109 FLOW-THRU 283.3</t>
  </si>
  <si>
    <t>SFAS 109 EXCESS DFIT 283.4</t>
  </si>
  <si>
    <t>SFAS 133 ADIT FED - SFAS 133 NONAFFIL 2830006</t>
  </si>
  <si>
    <t>ADIT - FED-HDG-CF-INT RATE 2830015</t>
  </si>
  <si>
    <t>481 a BONUS DEPRECIATION</t>
  </si>
  <si>
    <t>TAX DEPRECIATION LOOKBACK</t>
  </si>
  <si>
    <t>FIN 48 DSIT</t>
  </si>
  <si>
    <t>INDIANA MICHIGAN TRANSMISSION COMPANY</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</si>
  <si>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</si>
  <si>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</si>
  <si>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</si>
  <si>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</si>
  <si>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</si>
  <si>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</si>
  <si>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</si>
  <si>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</si>
  <si>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</si>
  <si>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</si>
  <si>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</si>
  <si>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</si>
  <si>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</si>
  <si>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</si>
  <si>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</si>
  <si>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</si>
  <si>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</si>
  <si>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</si>
  <si>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</si>
  <si>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</si>
  <si>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</si>
  <si>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</si>
  <si>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</si>
  <si>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</si>
  <si>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</si>
  <si>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</si>
  <si>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</si>
  <si>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</si>
  <si>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</si>
  <si>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</si>
  <si>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</si>
  <si>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</si>
  <si>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</si>
  <si>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</si>
  <si>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</si>
  <si>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</si>
  <si>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</si>
  <si>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</si>
  <si>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</si>
  <si>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</si>
  <si>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</si>
  <si>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</si>
  <si>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</si>
  <si>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</si>
  <si>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</si>
  <si>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</si>
  <si>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</si>
  <si>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</si>
  <si>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</si>
  <si>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</si>
  <si>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</si>
  <si>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</si>
  <si>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</si>
  <si>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</si>
  <si>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</si>
  <si>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</si>
  <si>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</si>
  <si>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An over or under collection will be recovered prorata over 2018, held for 2019 and returned prorate over 2020</t>
  </si>
  <si>
    <t>INSURANCE PREMIUMS ACCRUED</t>
  </si>
  <si>
    <t>BOOK OPERATING LEASE - LIAB</t>
  </si>
  <si>
    <t>9301014</t>
  </si>
  <si>
    <t>Video Communications</t>
  </si>
  <si>
    <t>P.263 ln 28 (i)</t>
  </si>
  <si>
    <t>BOOK OPERATING LEASE - ASSET</t>
  </si>
  <si>
    <t>WS B - 1 Col N, ADIT Item 9.03</t>
  </si>
  <si>
    <t>WS B - 1 Col N, ADIT Item 5.15</t>
  </si>
  <si>
    <t>WS B - 1 Col N, ADIT Item 5.16</t>
  </si>
  <si>
    <t>Company Records (included in total in column (d) of line 14, gross plant above)</t>
  </si>
  <si>
    <t>Company Records (included in total in column (d) of line 28, accumulated depreciation, above)</t>
  </si>
  <si>
    <t>NOL ADJUSTMENT</t>
  </si>
  <si>
    <t>NOL CONTRA</t>
  </si>
  <si>
    <t>9302004</t>
  </si>
  <si>
    <t>Research, Develop&amp;Demonstr Exp</t>
  </si>
  <si>
    <t>9302017</t>
  </si>
  <si>
    <t>SellingPrice Normalization Exp</t>
  </si>
  <si>
    <t>P.263 ln 5 (i)</t>
  </si>
  <si>
    <t>2022 Forecasted Revenue Requirement For Year 2021</t>
  </si>
  <si>
    <t>WS B - 2 Col B/C, ADIT Item 2.14</t>
  </si>
  <si>
    <t>WS B - 1 Col B/C, ADIT Item 5.21</t>
  </si>
  <si>
    <t>WS B - 1 Col B/C, ADIT Item 9.08</t>
  </si>
  <si>
    <t>P.263 ln 4 (i)</t>
  </si>
  <si>
    <t>P.263 ln 3 (i)</t>
  </si>
  <si>
    <t>P.263 ln 10 (i)</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</si>
  <si>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</si>
  <si>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</si>
  <si>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AEP EAST TRANSMISSION COMPANIES</t>
  </si>
  <si>
    <t>Docket ER20-1888-000</t>
  </si>
  <si>
    <t>AEP INDIANA MICHIGAN TRANSMISSION COMPANY</t>
  </si>
  <si>
    <t>Compliance Filing</t>
  </si>
  <si>
    <t>ATTACHMENT H-20B</t>
  </si>
  <si>
    <t>Attachment 12</t>
  </si>
  <si>
    <t>WORKSHEET B-3-A</t>
  </si>
  <si>
    <t>Page 2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</si>
  <si>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</si>
  <si>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</si>
  <si>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</si>
  <si>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</si>
  <si>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</si>
  <si>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</si>
  <si>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</si>
  <si>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</si>
  <si>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</si>
  <si>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</si>
  <si>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</si>
  <si>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</si>
  <si>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</si>
  <si>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</si>
  <si>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t>
  </si>
  <si>
    <t>1901001</t>
  </si>
  <si>
    <t>2018 FF1 P. 234 Col (b) Line 8</t>
  </si>
  <si>
    <t>2821001</t>
  </si>
  <si>
    <t>2018 FF1 P. 274 Col (b) Line 5</t>
  </si>
  <si>
    <t>2831001</t>
  </si>
  <si>
    <t>2018 FF1 P. 276 Col (b) Line 9</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</si>
  <si>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</si>
  <si>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</si>
  <si>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</si>
  <si>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</si>
  <si>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</si>
  <si>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</si>
  <si>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</si>
  <si>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</si>
  <si>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</si>
  <si>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</si>
  <si>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</si>
  <si>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</si>
  <si>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</si>
  <si>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</si>
  <si>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</si>
  <si>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</si>
  <si>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</si>
  <si>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</si>
  <si>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WORKSHEET B-3-X</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</si>
  <si>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</si>
  <si>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</si>
  <si>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</si>
  <si>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</si>
  <si>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</si>
  <si>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</si>
  <si>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</si>
  <si>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EFFECTIVE AS OF 3/11/2020</t>
  </si>
  <si>
    <r>
      <t>Note:</t>
    </r>
    <r>
      <rPr>
        <sz val="12"/>
        <rFont val="Arial"/>
        <family val="2"/>
      </rPr>
      <t xml:space="preserve"> Rates approved in Indiana 
Cause No. 45235 effective March 11, 2020.</t>
    </r>
  </si>
  <si>
    <t>1/1/2022 Beginning  Balances</t>
  </si>
  <si>
    <t>12/31/2022 Ending Balance</t>
  </si>
  <si>
    <t>RTEP ID: b2777 (Reconductor the entire Dequine - Eugene 345 kV circuit #1)</t>
  </si>
  <si>
    <t>BOOK LEASES DEFERRED</t>
  </si>
  <si>
    <t>REG ASSET-FERC Formula Rates Under Recvr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</si>
</sst>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0.000000"/>
    <numFmt numFmtId="178" formatCode="_(* #,##0.0000_);_(* \(#,##0.0000\);_(* &quot;-&quot;_);_(@_)"/>
    <numFmt numFmtId="179" formatCode="_(* #,##0.00000_);_(* \(#,##0.00000\);_(* &quot;-&quot;_);_(@_)"/>
    <numFmt numFmtId="180" formatCode="_(* #,##0.0000000000_);_(* \(#,##0.0000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0.0%"/>
    <numFmt numFmtId="187" formatCode="_(* #,##0.000_);_(* \(#,##0.000\);_(* &quot;-&quot;_);_(@_)"/>
    <numFmt numFmtId="188" formatCode="#,##0.000000"/>
    <numFmt numFmtId="189" formatCode="mmmm\ d\,\ yyyy"/>
    <numFmt numFmtId="190" formatCode="m/d/yy;@"/>
    <numFmt numFmtId="191" formatCode="0.000000%"/>
    <numFmt numFmtId="192" formatCode="0.0"/>
    <numFmt numFmtId="193" formatCode="&quot;$&quot;#,##0.0000"/>
    <numFmt numFmtId="194" formatCode="_(* #,##0.00_);_(* \(#,##0.00\);_(* &quot;-&quot;_);_(@_)"/>
    <numFmt numFmtId="195" formatCode="[$-409]mmmm\-yy;@"/>
    <numFmt numFmtId="196" formatCode="mm/dd/yy"/>
    <numFmt numFmtId="197" formatCode="_(* #,##0.000_);_(* \(#,##0.000\);_(* &quot;-&quot;??_);_(@_)"/>
  </numFmts>
  <fonts count="157">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70">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49"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49" fillId="0" borderId="0" applyFont="0" applyFill="0" applyBorder="0" applyAlignment="0" applyProtection="0"/>
    <xf numFmtId="43" fontId="138" fillId="0" borderId="0" applyFont="0" applyFill="0" applyBorder="0" applyAlignment="0" applyProtection="0"/>
    <xf numFmtId="43" fontId="149" fillId="0" borderId="0" applyFont="0" applyFill="0" applyBorder="0" applyAlignment="0" applyProtection="0"/>
    <xf numFmtId="43" fontId="147" fillId="0" borderId="0" applyFont="0" applyFill="0" applyBorder="0" applyAlignment="0" applyProtection="0"/>
    <xf numFmtId="43" fontId="149" fillId="0" borderId="0" applyFont="0" applyFill="0" applyBorder="0" applyAlignment="0" applyProtection="0"/>
    <xf numFmtId="43" fontId="3" fillId="0" borderId="0" applyFont="0" applyFill="0" applyBorder="0" applyAlignment="0" applyProtection="0"/>
    <xf numFmtId="43" fontId="130"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7"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9" fillId="0" borderId="0" applyFont="0" applyFill="0" applyBorder="0" applyAlignment="0" applyProtection="0"/>
    <xf numFmtId="44" fontId="13" fillId="0" borderId="0" applyFont="0" applyFill="0" applyBorder="0" applyAlignment="0" applyProtection="0"/>
    <xf numFmtId="44" fontId="149" fillId="0" borderId="0" applyFont="0" applyFill="0" applyBorder="0" applyAlignment="0" applyProtection="0"/>
    <xf numFmtId="44" fontId="147"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29" fillId="0" borderId="0"/>
    <xf numFmtId="3" fontId="13" fillId="0" borderId="0"/>
    <xf numFmtId="3" fontId="13" fillId="0" borderId="0"/>
    <xf numFmtId="3" fontId="13" fillId="0" borderId="0"/>
    <xf numFmtId="3" fontId="147" fillId="0" borderId="0"/>
    <xf numFmtId="0" fontId="129" fillId="0" borderId="0"/>
    <xf numFmtId="0" fontId="13" fillId="0" borderId="0"/>
    <xf numFmtId="3" fontId="13" fillId="0" borderId="0"/>
    <xf numFmtId="3" fontId="13" fillId="0" borderId="0"/>
    <xf numFmtId="0" fontId="147" fillId="0" borderId="0"/>
    <xf numFmtId="3" fontId="13" fillId="0" borderId="0"/>
    <xf numFmtId="3" fontId="13" fillId="0" borderId="0"/>
    <xf numFmtId="0" fontId="149"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50" fillId="0" borderId="0"/>
    <xf numFmtId="0" fontId="13" fillId="0" borderId="0"/>
    <xf numFmtId="0" fontId="13" fillId="0" borderId="0"/>
    <xf numFmtId="0" fontId="150" fillId="0" borderId="0"/>
    <xf numFmtId="0"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3" fontId="13" fillId="0" borderId="0"/>
    <xf numFmtId="0" fontId="13" fillId="0" borderId="0"/>
    <xf numFmtId="0" fontId="149"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9" fillId="0" borderId="0"/>
    <xf numFmtId="0" fontId="13" fillId="0" borderId="0"/>
    <xf numFmtId="0" fontId="147" fillId="0" borderId="0"/>
    <xf numFmtId="0" fontId="13" fillId="0" borderId="0"/>
    <xf numFmtId="0" fontId="147" fillId="0" borderId="0"/>
    <xf numFmtId="0" fontId="13" fillId="0" borderId="0"/>
    <xf numFmtId="0" fontId="147" fillId="0" borderId="0"/>
    <xf numFmtId="0" fontId="13" fillId="0" borderId="0"/>
    <xf numFmtId="0" fontId="13" fillId="0" borderId="0"/>
    <xf numFmtId="0" fontId="13" fillId="0" borderId="0"/>
    <xf numFmtId="3" fontId="13" fillId="0" borderId="0"/>
    <xf numFmtId="3" fontId="13" fillId="0" borderId="0"/>
    <xf numFmtId="0" fontId="129" fillId="0" borderId="0"/>
    <xf numFmtId="0" fontId="13" fillId="0" borderId="0"/>
    <xf numFmtId="0" fontId="147" fillId="0" borderId="0"/>
    <xf numFmtId="0" fontId="129" fillId="0" borderId="0"/>
    <xf numFmtId="0" fontId="13" fillId="0" borderId="0"/>
    <xf numFmtId="0" fontId="13" fillId="0" borderId="0"/>
    <xf numFmtId="0" fontId="13" fillId="0" borderId="0"/>
    <xf numFmtId="0" fontId="147" fillId="0" borderId="0"/>
    <xf numFmtId="0" fontId="13" fillId="0" borderId="0"/>
    <xf numFmtId="0" fontId="13" fillId="0" borderId="0"/>
    <xf numFmtId="0" fontId="147" fillId="0" borderId="0"/>
    <xf numFmtId="0" fontId="13" fillId="0" borderId="0"/>
    <xf numFmtId="0" fontId="149" fillId="0" borderId="0"/>
    <xf numFmtId="0" fontId="129" fillId="0" borderId="0"/>
    <xf numFmtId="0" fontId="13" fillId="0" borderId="0"/>
    <xf numFmtId="0" fontId="149" fillId="0" borderId="0"/>
    <xf numFmtId="0" fontId="147" fillId="0" borderId="0"/>
    <xf numFmtId="0" fontId="129" fillId="0" borderId="0"/>
    <xf numFmtId="0" fontId="13" fillId="0" borderId="0"/>
    <xf numFmtId="0" fontId="149" fillId="0" borderId="0"/>
    <xf numFmtId="0" fontId="147" fillId="0" borderId="0"/>
    <xf numFmtId="0" fontId="129" fillId="0" borderId="0"/>
    <xf numFmtId="0" fontId="13" fillId="0" borderId="0"/>
    <xf numFmtId="0" fontId="149" fillId="0" borderId="0"/>
    <xf numFmtId="0" fontId="147" fillId="0" borderId="0"/>
    <xf numFmtId="0" fontId="4" fillId="0" borderId="0" applyProtection="0"/>
    <xf numFmtId="0" fontId="3" fillId="0" borderId="0"/>
    <xf numFmtId="0" fontId="13" fillId="0" borderId="0"/>
    <xf numFmtId="0" fontId="13" fillId="0" borderId="0"/>
    <xf numFmtId="0" fontId="13" fillId="0" borderId="0"/>
    <xf numFmtId="172" fontId="4" fillId="0" borderId="0" applyProtection="0"/>
    <xf numFmtId="0" fontId="3" fillId="0" borderId="0"/>
    <xf numFmtId="172" fontId="4" fillId="0" borderId="0" applyProtection="0"/>
    <xf numFmtId="172" fontId="4" fillId="0" borderId="0" applyProtection="0"/>
    <xf numFmtId="0" fontId="71" fillId="0" borderId="0"/>
    <xf numFmtId="0" fontId="13" fillId="0" borderId="0"/>
    <xf numFmtId="0" fontId="4" fillId="0" borderId="0"/>
    <xf numFmtId="0" fontId="13" fillId="0" borderId="0"/>
    <xf numFmtId="0" fontId="3" fillId="0" borderId="0"/>
    <xf numFmtId="0" fontId="130" fillId="0" borderId="0"/>
    <xf numFmtId="0" fontId="111"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9" fillId="0" borderId="0" applyFont="0" applyFill="0" applyBorder="0" applyAlignment="0" applyProtection="0"/>
    <xf numFmtId="9" fontId="13" fillId="0" borderId="0" applyFont="0" applyFill="0" applyBorder="0" applyAlignment="0" applyProtection="0"/>
    <xf numFmtId="9" fontId="149" fillId="0" borderId="0" applyFont="0" applyFill="0" applyBorder="0" applyAlignment="0" applyProtection="0"/>
    <xf numFmtId="9" fontId="149" fillId="0" borderId="0" applyFont="0" applyFill="0" applyBorder="0" applyAlignment="0" applyProtection="0"/>
    <xf numFmtId="9" fontId="147"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72" fontId="4" fillId="0" borderId="0" applyProtection="0"/>
    <xf numFmtId="0" fontId="2" fillId="0" borderId="0"/>
    <xf numFmtId="43" fontId="4" fillId="0" borderId="0" applyFont="0" applyFill="0" applyBorder="0" applyAlignment="0" applyProtection="0"/>
    <xf numFmtId="0" fontId="3" fillId="0" borderId="0"/>
    <xf numFmtId="9" fontId="4" fillId="0" borderId="0" applyFont="0" applyFill="0" applyBorder="0" applyAlignment="0" applyProtection="0"/>
    <xf numFmtId="172" fontId="4" fillId="0" borderId="0" applyProtection="0"/>
    <xf numFmtId="43" fontId="4"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1598">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xf numFmtId="0" fontId="10" fillId="0" borderId="0" xfId="270" applyFont="1" applyFill="1" applyAlignment="1">
      <alignment horizontal="center"/>
    </xf>
    <xf numFmtId="0" fontId="16" fillId="0" borderId="0" xfId="270" applyFont="1" applyFill="1"/>
    <xf numFmtId="0" fontId="0" fillId="0" borderId="0" xfId="0" applyBorder="1"/>
    <xf numFmtId="0" fontId="5" fillId="0" borderId="0" xfId="0" applyFont="1"/>
    <xf numFmtId="0" fontId="0" fillId="0" borderId="0" xfId="0" applyFill="1"/>
    <xf numFmtId="0" fontId="13" fillId="0" borderId="0" xfId="270" applyFont="1" applyFill="1"/>
    <xf numFmtId="0" fontId="16" fillId="0" borderId="0" xfId="270" applyFont="1" applyFill="1" applyAlignment="1">
      <alignment horizontal="left"/>
    </xf>
    <xf numFmtId="3" fontId="13" fillId="0" borderId="0" xfId="0" applyNumberFormat="1" applyFont="1" applyFill="1"/>
    <xf numFmtId="0" fontId="6" fillId="0" borderId="0" xfId="270" applyFont="1" applyFill="1" applyAlignment="1">
      <alignment horizontal="right"/>
    </xf>
    <xf numFmtId="40" fontId="13" fillId="0" borderId="0" xfId="0" applyNumberFormat="1" applyFont="1" applyFill="1"/>
    <xf numFmtId="0" fontId="13" fillId="0" borderId="0" xfId="270" applyFont="1"/>
    <xf numFmtId="0" fontId="6" fillId="0" borderId="0" xfId="270" applyFont="1" applyFill="1"/>
    <xf numFmtId="0" fontId="10" fillId="0" borderId="0" xfId="270" applyFont="1" applyFill="1" applyBorder="1" applyAlignment="1">
      <alignment horizontal="left"/>
    </xf>
    <xf numFmtId="0" fontId="13" fillId="0" borderId="0" xfId="270" applyFont="1" applyAlignment="1">
      <alignment horizontal="left"/>
    </xf>
    <xf numFmtId="0" fontId="7" fillId="0" borderId="0" xfId="270" applyFont="1" applyFill="1" applyAlignment="1">
      <alignment horizontal="center"/>
    </xf>
    <xf numFmtId="0" fontId="27" fillId="0" borderId="0" xfId="0" applyFont="1" applyFill="1"/>
    <xf numFmtId="0" fontId="6" fillId="0" borderId="0" xfId="0" applyFont="1" applyAlignment="1">
      <alignment horizontal="center"/>
    </xf>
    <xf numFmtId="3" fontId="20" fillId="0" borderId="0" xfId="0" applyNumberFormat="1" applyFont="1" applyFill="1" applyAlignment="1"/>
    <xf numFmtId="41" fontId="28" fillId="0" borderId="0" xfId="270" applyNumberFormat="1" applyFont="1" applyFill="1" applyBorder="1"/>
    <xf numFmtId="0" fontId="29" fillId="0" borderId="0" xfId="270" applyFont="1" applyFill="1" applyAlignment="1">
      <alignment horizontal="left"/>
    </xf>
    <xf numFmtId="0" fontId="27" fillId="0" borderId="0" xfId="270" applyFont="1" applyFill="1"/>
    <xf numFmtId="41" fontId="27" fillId="0" borderId="0" xfId="270" applyNumberFormat="1" applyFont="1" applyFill="1"/>
    <xf numFmtId="41" fontId="27" fillId="0" borderId="0" xfId="270" applyNumberFormat="1" applyFont="1" applyFill="1" applyBorder="1" applyAlignment="1">
      <alignment vertical="top"/>
    </xf>
    <xf numFmtId="180" fontId="27" fillId="0" borderId="0" xfId="270" applyNumberFormat="1" applyFont="1" applyFill="1"/>
    <xf numFmtId="41" fontId="27" fillId="0" borderId="0" xfId="270" applyNumberFormat="1" applyFont="1" applyFill="1" applyBorder="1"/>
    <xf numFmtId="0" fontId="27" fillId="0" borderId="0" xfId="270" applyFont="1" applyFill="1" applyAlignment="1">
      <alignment horizontal="left"/>
    </xf>
    <xf numFmtId="0" fontId="30" fillId="0" borderId="0" xfId="270" applyFont="1" applyFill="1" applyBorder="1"/>
    <xf numFmtId="0" fontId="27" fillId="0" borderId="0" xfId="270" applyFont="1" applyFill="1" applyAlignment="1">
      <alignment horizontal="center"/>
    </xf>
    <xf numFmtId="0" fontId="11" fillId="0" borderId="0" xfId="270" applyFont="1" applyFill="1" applyAlignment="1">
      <alignment horizontal="center"/>
    </xf>
    <xf numFmtId="173" fontId="27" fillId="0" borderId="0" xfId="270" applyNumberFormat="1" applyFont="1" applyFill="1"/>
    <xf numFmtId="173" fontId="27" fillId="0" borderId="0" xfId="270" applyNumberFormat="1" applyFont="1" applyFill="1" applyBorder="1" applyAlignment="1">
      <alignment vertical="top"/>
    </xf>
    <xf numFmtId="41" fontId="27" fillId="0" borderId="13" xfId="270" applyNumberFormat="1" applyFont="1" applyFill="1" applyBorder="1"/>
    <xf numFmtId="173" fontId="7" fillId="0" borderId="0" xfId="86" applyNumberFormat="1" applyFont="1" applyFill="1" applyAlignment="1">
      <alignment horizontal="center"/>
    </xf>
    <xf numFmtId="0" fontId="6" fillId="0" borderId="0" xfId="270" applyFont="1" applyFill="1" applyAlignment="1">
      <alignment horizontal="center"/>
    </xf>
    <xf numFmtId="0" fontId="31" fillId="0" borderId="0" xfId="270" applyFont="1" applyFill="1" applyBorder="1"/>
    <xf numFmtId="0" fontId="11" fillId="0" borderId="0" xfId="270" applyFont="1" applyAlignment="1">
      <alignment horizontal="center"/>
    </xf>
    <xf numFmtId="41" fontId="6" fillId="0" borderId="13" xfId="270" applyNumberFormat="1" applyFont="1" applyFill="1" applyBorder="1"/>
    <xf numFmtId="38" fontId="13" fillId="0" borderId="0" xfId="0" applyNumberFormat="1" applyFont="1" applyFill="1" applyBorder="1" applyAlignment="1"/>
    <xf numFmtId="40" fontId="27" fillId="0" borderId="0" xfId="270" applyNumberFormat="1" applyFont="1" applyFill="1"/>
    <xf numFmtId="3" fontId="13" fillId="0" borderId="0" xfId="0" applyNumberFormat="1" applyFont="1"/>
    <xf numFmtId="40" fontId="13" fillId="0" borderId="0" xfId="0" applyNumberFormat="1" applyFont="1"/>
    <xf numFmtId="43" fontId="6" fillId="0" borderId="0" xfId="270" applyNumberFormat="1" applyFont="1" applyFill="1"/>
    <xf numFmtId="3" fontId="6" fillId="0" borderId="0" xfId="0" applyNumberFormat="1" applyFont="1" applyFill="1" applyAlignment="1"/>
    <xf numFmtId="41" fontId="28" fillId="25" borderId="0" xfId="270" applyNumberFormat="1" applyFont="1" applyFill="1" applyBorder="1"/>
    <xf numFmtId="0" fontId="33" fillId="0" borderId="0" xfId="0" applyFont="1" applyFill="1"/>
    <xf numFmtId="0" fontId="20" fillId="0" borderId="0" xfId="270" applyFont="1" applyFill="1"/>
    <xf numFmtId="0" fontId="13" fillId="0" borderId="0" xfId="270" applyFont="1" applyAlignment="1">
      <alignment horizontal="center"/>
    </xf>
    <xf numFmtId="0" fontId="6" fillId="0" borderId="0" xfId="220" applyFont="1" applyBorder="1" applyAlignment="1">
      <alignment horizontal="center"/>
    </xf>
    <xf numFmtId="49" fontId="6" fillId="0" borderId="0" xfId="270" applyNumberFormat="1" applyFont="1" applyAlignment="1">
      <alignment horizontal="center"/>
    </xf>
    <xf numFmtId="3" fontId="6" fillId="0" borderId="0" xfId="0" applyNumberFormat="1" applyFont="1" applyFill="1" applyAlignment="1">
      <alignment horizontal="center"/>
    </xf>
    <xf numFmtId="3" fontId="11" fillId="0" borderId="0" xfId="0" applyNumberFormat="1" applyFont="1" applyFill="1" applyAlignment="1">
      <alignment horizontal="center"/>
    </xf>
    <xf numFmtId="0" fontId="13" fillId="0" borderId="0" xfId="0" applyFont="1" applyAlignment="1">
      <alignment horizontal="center"/>
    </xf>
    <xf numFmtId="0" fontId="72" fillId="0" borderId="0" xfId="278" applyFont="1"/>
    <xf numFmtId="184" fontId="19" fillId="0" borderId="0" xfId="278" applyNumberFormat="1" applyFont="1" applyAlignment="1">
      <alignment horizontal="center"/>
    </xf>
    <xf numFmtId="0" fontId="13" fillId="0" borderId="0" xfId="278" applyFont="1"/>
    <xf numFmtId="0" fontId="19" fillId="0" borderId="0" xfId="278" applyFont="1"/>
    <xf numFmtId="0" fontId="19" fillId="0" borderId="0" xfId="278" applyNumberFormat="1" applyFont="1" applyAlignment="1">
      <alignment horizontal="center"/>
    </xf>
    <xf numFmtId="0" fontId="19" fillId="0" borderId="0" xfId="278" applyNumberFormat="1" applyFont="1"/>
    <xf numFmtId="0" fontId="19" fillId="0" borderId="0" xfId="278" applyNumberFormat="1" applyFont="1" applyBorder="1" applyAlignment="1">
      <alignment horizontal="center"/>
    </xf>
    <xf numFmtId="0" fontId="74" fillId="0" borderId="0" xfId="278" applyFont="1"/>
    <xf numFmtId="0" fontId="75" fillId="0" borderId="0" xfId="278" applyFont="1"/>
    <xf numFmtId="184" fontId="13" fillId="0" borderId="0" xfId="278" applyNumberFormat="1" applyFont="1"/>
    <xf numFmtId="0" fontId="76" fillId="0" borderId="0" xfId="275" applyFont="1" applyFill="1" applyAlignment="1">
      <alignment horizontal="center"/>
    </xf>
    <xf numFmtId="0" fontId="76" fillId="0" borderId="0" xfId="275" applyFont="1" applyFill="1" applyAlignment="1">
      <alignment horizontal="left" indent="2"/>
    </xf>
    <xf numFmtId="39" fontId="76" fillId="0" borderId="0" xfId="275" applyNumberFormat="1" applyFont="1" applyFill="1"/>
    <xf numFmtId="0" fontId="72" fillId="0" borderId="0" xfId="278" applyFont="1" applyFill="1"/>
    <xf numFmtId="0" fontId="13" fillId="0" borderId="0" xfId="278" applyNumberFormat="1" applyFont="1" applyAlignment="1">
      <alignment horizontal="center"/>
    </xf>
    <xf numFmtId="0" fontId="13" fillId="0" borderId="0" xfId="278" applyNumberFormat="1" applyFont="1"/>
    <xf numFmtId="173" fontId="72" fillId="0" borderId="14" xfId="86" applyNumberFormat="1" applyFont="1" applyBorder="1"/>
    <xf numFmtId="0" fontId="72" fillId="0" borderId="0" xfId="0" applyFont="1"/>
    <xf numFmtId="173" fontId="0" fillId="0" borderId="0" xfId="0" applyNumberFormat="1"/>
    <xf numFmtId="0" fontId="81" fillId="0" borderId="0" xfId="270" applyFont="1" applyFill="1" applyBorder="1" applyAlignment="1">
      <alignment horizontal="left"/>
    </xf>
    <xf numFmtId="0" fontId="5" fillId="0" borderId="0" xfId="0" applyFont="1" applyAlignment="1">
      <alignment horizontal="center"/>
    </xf>
    <xf numFmtId="0" fontId="5" fillId="0" borderId="0" xfId="220" applyFont="1" applyBorder="1" applyAlignment="1">
      <alignment horizontal="center"/>
    </xf>
    <xf numFmtId="0" fontId="13" fillId="0" borderId="0" xfId="278" applyNumberFormat="1" applyFont="1" applyFill="1"/>
    <xf numFmtId="173" fontId="72" fillId="0" borderId="0" xfId="278" applyNumberFormat="1" applyFont="1" applyFill="1"/>
    <xf numFmtId="3" fontId="5" fillId="0" borderId="0" xfId="0" applyNumberFormat="1" applyFont="1" applyAlignment="1">
      <alignment horizontal="center"/>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6" fillId="0" borderId="0" xfId="270" applyFont="1"/>
    <xf numFmtId="0" fontId="3" fillId="0" borderId="0" xfId="270" applyAlignment="1">
      <alignment horizontal="left"/>
    </xf>
    <xf numFmtId="0" fontId="3" fillId="0" borderId="0" xfId="270"/>
    <xf numFmtId="0" fontId="16" fillId="0" borderId="0" xfId="270" applyFont="1" applyAlignment="1">
      <alignment horizontal="left"/>
    </xf>
    <xf numFmtId="0" fontId="15" fillId="0" borderId="0" xfId="270" applyFont="1" applyFill="1"/>
    <xf numFmtId="0" fontId="84" fillId="0" borderId="0" xfId="270" applyFont="1" applyFill="1"/>
    <xf numFmtId="9" fontId="11" fillId="0" borderId="0" xfId="270" quotePrefix="1" applyNumberFormat="1" applyFont="1" applyFill="1" applyAlignment="1">
      <alignment horizontal="center"/>
    </xf>
    <xf numFmtId="0" fontId="5" fillId="0" borderId="0" xfId="278" applyNumberFormat="1" applyFont="1" applyAlignment="1">
      <alignment horizontal="center"/>
    </xf>
    <xf numFmtId="0" fontId="5" fillId="0" borderId="0" xfId="278" applyNumberFormat="1" applyFont="1"/>
    <xf numFmtId="184" fontId="5" fillId="0" borderId="0" xfId="278" applyNumberFormat="1" applyFont="1" applyAlignment="1">
      <alignment horizontal="center"/>
    </xf>
    <xf numFmtId="0" fontId="5" fillId="0" borderId="11" xfId="278" applyNumberFormat="1" applyFont="1" applyBorder="1" applyAlignment="1">
      <alignment horizontal="center"/>
    </xf>
    <xf numFmtId="184" fontId="5" fillId="0" borderId="11" xfId="278" applyNumberFormat="1" applyFont="1" applyBorder="1" applyAlignment="1">
      <alignment horizontal="center"/>
    </xf>
    <xf numFmtId="174" fontId="0" fillId="0" borderId="0" xfId="121" applyNumberFormat="1" applyFont="1" applyAlignment="1">
      <alignment horizontal="center"/>
    </xf>
    <xf numFmtId="0" fontId="10" fillId="0" borderId="0" xfId="0" applyFont="1" applyAlignment="1">
      <alignment horizontal="left"/>
    </xf>
    <xf numFmtId="6" fontId="10" fillId="0" borderId="0" xfId="0" applyNumberFormat="1" applyFont="1" applyAlignment="1">
      <alignment horizontal="right"/>
    </xf>
    <xf numFmtId="164" fontId="0" fillId="0" borderId="0" xfId="289" applyNumberFormat="1" applyFont="1"/>
    <xf numFmtId="173" fontId="90" fillId="0" borderId="0" xfId="278" applyNumberFormat="1" applyFont="1" applyFill="1" applyBorder="1"/>
    <xf numFmtId="0" fontId="24" fillId="0" borderId="0" xfId="270" applyFont="1" applyFill="1" applyAlignment="1">
      <alignment horizontal="center"/>
    </xf>
    <xf numFmtId="0" fontId="93" fillId="0" borderId="0" xfId="270" applyFont="1" applyFill="1" applyBorder="1"/>
    <xf numFmtId="0" fontId="33" fillId="0" borderId="0" xfId="0" applyFont="1"/>
    <xf numFmtId="173" fontId="0" fillId="0" borderId="14" xfId="0" applyNumberFormat="1" applyBorder="1"/>
    <xf numFmtId="9" fontId="0" fillId="0" borderId="0" xfId="289" applyFont="1"/>
    <xf numFmtId="0" fontId="95" fillId="0" borderId="0" xfId="0" applyFont="1" applyAlignment="1">
      <alignment horizontal="center" wrapText="1"/>
    </xf>
    <xf numFmtId="0" fontId="19" fillId="0" borderId="0" xfId="275" applyFont="1" applyFill="1" applyAlignment="1">
      <alignment horizontal="center"/>
    </xf>
    <xf numFmtId="189" fontId="99" fillId="0" borderId="0" xfId="220" applyNumberFormat="1" applyFont="1" applyFill="1" applyBorder="1" applyAlignment="1">
      <alignment horizontal="center"/>
    </xf>
    <xf numFmtId="38" fontId="0" fillId="0" borderId="0" xfId="0" applyNumberFormat="1" applyBorder="1"/>
    <xf numFmtId="0" fontId="3" fillId="0" borderId="0" xfId="0" applyFont="1"/>
    <xf numFmtId="0" fontId="7" fillId="0" borderId="0" xfId="270" applyFont="1" applyFill="1" applyBorder="1" applyAlignment="1">
      <alignment horizontal="center"/>
    </xf>
    <xf numFmtId="0" fontId="6" fillId="0" borderId="0" xfId="0" applyFont="1" applyBorder="1" applyAlignment="1">
      <alignment horizontal="center"/>
    </xf>
    <xf numFmtId="0" fontId="5" fillId="0" borderId="0" xfId="278" applyNumberFormat="1" applyFont="1" applyBorder="1" applyAlignment="1">
      <alignment horizontal="center"/>
    </xf>
    <xf numFmtId="0" fontId="13" fillId="0" borderId="0" xfId="278" applyFont="1" applyBorder="1"/>
    <xf numFmtId="0" fontId="5" fillId="0" borderId="11" xfId="278" applyNumberFormat="1" applyFont="1" applyBorder="1"/>
    <xf numFmtId="184" fontId="5" fillId="0" borderId="0" xfId="278" applyNumberFormat="1" applyFont="1" applyBorder="1" applyAlignment="1">
      <alignment horizontal="center"/>
    </xf>
    <xf numFmtId="0" fontId="13" fillId="0" borderId="0" xfId="278" applyFont="1" applyFill="1"/>
    <xf numFmtId="173" fontId="79" fillId="0" borderId="0" xfId="278" applyNumberFormat="1" applyFont="1" applyFill="1" applyBorder="1"/>
    <xf numFmtId="0" fontId="72" fillId="0" borderId="0" xfId="278" applyFont="1" applyAlignment="1">
      <alignment horizontal="center"/>
    </xf>
    <xf numFmtId="0" fontId="19" fillId="0" borderId="0" xfId="278" applyFont="1" applyFill="1"/>
    <xf numFmtId="3" fontId="79" fillId="0" borderId="0" xfId="278" applyNumberFormat="1" applyFont="1" applyFill="1" applyBorder="1"/>
    <xf numFmtId="173" fontId="79" fillId="0" borderId="0" xfId="278" applyNumberFormat="1" applyFont="1" applyFill="1"/>
    <xf numFmtId="173" fontId="72" fillId="0" borderId="0" xfId="278" applyNumberFormat="1" applyFont="1" applyFill="1" applyBorder="1"/>
    <xf numFmtId="0" fontId="72" fillId="0" borderId="0" xfId="278" applyFont="1" applyFill="1" applyBorder="1"/>
    <xf numFmtId="38" fontId="23" fillId="0" borderId="0" xfId="0" applyNumberFormat="1" applyFont="1" applyBorder="1"/>
    <xf numFmtId="175" fontId="4" fillId="0" borderId="15" xfId="280" applyNumberFormat="1" applyBorder="1" applyProtection="1"/>
    <xf numFmtId="175" fontId="4" fillId="0" borderId="0" xfId="280" applyNumberFormat="1" applyBorder="1" applyProtection="1"/>
    <xf numFmtId="49" fontId="6" fillId="0" borderId="0" xfId="86" applyNumberFormat="1" applyFont="1" applyAlignment="1">
      <alignment horizontal="center"/>
    </xf>
    <xf numFmtId="0" fontId="100" fillId="0" borderId="0" xfId="278" applyFont="1" applyFill="1" applyBorder="1"/>
    <xf numFmtId="0" fontId="120" fillId="0" borderId="0" xfId="278" applyFont="1"/>
    <xf numFmtId="0" fontId="33" fillId="0" borderId="0" xfId="270" applyFont="1" applyFill="1" applyBorder="1"/>
    <xf numFmtId="0" fontId="108" fillId="0" borderId="0" xfId="270" applyFont="1" applyFill="1" applyAlignment="1">
      <alignment horizontal="center"/>
    </xf>
    <xf numFmtId="0" fontId="13" fillId="0" borderId="0" xfId="270" applyFont="1" applyFill="1" applyBorder="1"/>
    <xf numFmtId="0" fontId="95" fillId="0" borderId="0" xfId="0" applyFont="1" applyAlignment="1">
      <alignment horizontal="center"/>
    </xf>
    <xf numFmtId="10" fontId="4" fillId="0" borderId="0" xfId="280" applyNumberFormat="1" applyFill="1" applyProtection="1"/>
    <xf numFmtId="41" fontId="20" fillId="30" borderId="6" xfId="277" applyNumberFormat="1" applyFont="1" applyFill="1" applyBorder="1" applyAlignment="1" applyProtection="1">
      <protection locked="0"/>
    </xf>
    <xf numFmtId="3" fontId="20" fillId="30" borderId="0" xfId="277" applyNumberFormat="1" applyFont="1" applyFill="1" applyAlignment="1" applyProtection="1">
      <protection locked="0"/>
    </xf>
    <xf numFmtId="41" fontId="6" fillId="30" borderId="0" xfId="277" applyNumberFormat="1" applyFont="1" applyFill="1" applyAlignment="1" applyProtection="1">
      <protection locked="0"/>
    </xf>
    <xf numFmtId="173" fontId="20" fillId="30" borderId="0" xfId="86" applyNumberFormat="1" applyFont="1" applyFill="1" applyAlignment="1" applyProtection="1">
      <alignment horizontal="right"/>
      <protection locked="0"/>
    </xf>
    <xf numFmtId="41" fontId="20" fillId="30" borderId="0" xfId="277" applyNumberFormat="1" applyFont="1" applyFill="1" applyAlignment="1" applyProtection="1">
      <protection locked="0"/>
    </xf>
    <xf numFmtId="173" fontId="9" fillId="30" borderId="0" xfId="86" applyNumberFormat="1" applyFont="1" applyFill="1" applyProtection="1">
      <protection locked="0"/>
    </xf>
    <xf numFmtId="173" fontId="9" fillId="30" borderId="11" xfId="86" applyNumberFormat="1" applyFont="1" applyFill="1" applyBorder="1" applyAlignment="1" applyProtection="1">
      <protection locked="0"/>
    </xf>
    <xf numFmtId="10" fontId="20" fillId="30" borderId="0" xfId="277" applyNumberFormat="1" applyFont="1" applyFill="1" applyProtection="1">
      <protection locked="0"/>
    </xf>
    <xf numFmtId="41" fontId="20" fillId="30" borderId="0" xfId="277" applyNumberFormat="1" applyFont="1" applyFill="1" applyAlignment="1" applyProtection="1">
      <alignment vertical="center"/>
      <protection locked="0"/>
    </xf>
    <xf numFmtId="0" fontId="7" fillId="0" borderId="0" xfId="0" applyFont="1"/>
    <xf numFmtId="10" fontId="20" fillId="31" borderId="0" xfId="289" applyNumberFormat="1" applyFont="1" applyFill="1" applyAlignment="1" applyProtection="1">
      <protection locked="0"/>
    </xf>
    <xf numFmtId="173" fontId="79" fillId="32" borderId="0" xfId="278" applyNumberFormat="1" applyFont="1" applyFill="1"/>
    <xf numFmtId="192" fontId="4" fillId="0" borderId="0" xfId="280" applyNumberFormat="1" applyFill="1" applyProtection="1"/>
    <xf numFmtId="172" fontId="4" fillId="0" borderId="0" xfId="277" applyFont="1" applyAlignment="1" applyProtection="1"/>
    <xf numFmtId="172" fontId="6" fillId="0" borderId="0" xfId="277" applyFont="1" applyAlignment="1" applyProtection="1"/>
    <xf numFmtId="0" fontId="0" fillId="0" borderId="0" xfId="0" applyBorder="1" applyProtection="1"/>
    <xf numFmtId="0" fontId="7" fillId="0" borderId="0" xfId="277" applyNumberFormat="1" applyFont="1" applyBorder="1" applyAlignment="1" applyProtection="1">
      <alignment horizontal="left"/>
    </xf>
    <xf numFmtId="14" fontId="7" fillId="0" borderId="0" xfId="277" applyNumberFormat="1" applyFont="1" applyBorder="1" applyAlignment="1" applyProtection="1"/>
    <xf numFmtId="172" fontId="7" fillId="0" borderId="0" xfId="277" applyFont="1" applyFill="1" applyAlignment="1" applyProtection="1"/>
    <xf numFmtId="172" fontId="6" fillId="0" borderId="0" xfId="277" applyFont="1" applyFill="1" applyAlignment="1" applyProtection="1"/>
    <xf numFmtId="0" fontId="20" fillId="32" borderId="0" xfId="86" applyNumberFormat="1" applyFont="1" applyFill="1" applyAlignment="1" applyProtection="1"/>
    <xf numFmtId="0" fontId="6" fillId="0" borderId="0" xfId="277"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77" applyNumberFormat="1" applyFont="1" applyProtection="1"/>
    <xf numFmtId="0" fontId="6" fillId="0" borderId="0" xfId="277" applyNumberFormat="1" applyFont="1" applyAlignment="1" applyProtection="1">
      <alignment horizontal="right"/>
    </xf>
    <xf numFmtId="3" fontId="6" fillId="0" borderId="0" xfId="277" applyNumberFormat="1" applyFont="1" applyAlignment="1" applyProtection="1"/>
    <xf numFmtId="3" fontId="6" fillId="0" borderId="0" xfId="0" applyNumberFormat="1" applyFont="1" applyAlignment="1" applyProtection="1">
      <alignment horizontal="center"/>
    </xf>
    <xf numFmtId="0" fontId="4" fillId="0" borderId="0" xfId="277" applyNumberFormat="1" applyFont="1" applyAlignment="1" applyProtection="1">
      <alignment horizontal="center"/>
    </xf>
    <xf numFmtId="0" fontId="6" fillId="0" borderId="0" xfId="277" applyNumberFormat="1" applyFont="1" applyAlignment="1" applyProtection="1">
      <alignment horizontal="center"/>
    </xf>
    <xf numFmtId="49" fontId="6" fillId="0" borderId="0" xfId="277"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77" applyNumberFormat="1" applyFont="1" applyProtection="1"/>
    <xf numFmtId="39" fontId="6" fillId="0" borderId="0" xfId="86" applyNumberFormat="1" applyFont="1" applyAlignment="1" applyProtection="1">
      <alignment horizontal="center"/>
    </xf>
    <xf numFmtId="0" fontId="4" fillId="0" borderId="6" xfId="277" applyNumberFormat="1" applyFont="1" applyBorder="1" applyAlignment="1" applyProtection="1">
      <alignment horizontal="center"/>
    </xf>
    <xf numFmtId="0" fontId="6" fillId="0" borderId="0" xfId="277" applyNumberFormat="1" applyFont="1" applyBorder="1" applyAlignment="1" applyProtection="1">
      <alignment horizontal="center"/>
    </xf>
    <xf numFmtId="0" fontId="6" fillId="0" borderId="6" xfId="277" applyNumberFormat="1" applyFont="1" applyBorder="1" applyAlignment="1" applyProtection="1">
      <alignment horizontal="center"/>
    </xf>
    <xf numFmtId="0" fontId="6" fillId="0" borderId="0" xfId="0" applyNumberFormat="1" applyFont="1" applyProtection="1"/>
    <xf numFmtId="0" fontId="6" fillId="0" borderId="0" xfId="277" applyNumberFormat="1" applyFont="1" applyFill="1" applyProtection="1"/>
    <xf numFmtId="3" fontId="6" fillId="0" borderId="0" xfId="277" applyNumberFormat="1" applyFont="1" applyProtection="1"/>
    <xf numFmtId="0" fontId="6" fillId="0" borderId="0" xfId="277" applyNumberFormat="1" applyFont="1" applyAlignment="1" applyProtection="1">
      <alignment horizontal="left"/>
    </xf>
    <xf numFmtId="170" fontId="6" fillId="0" borderId="0" xfId="277" applyNumberFormat="1" applyFont="1" applyProtection="1"/>
    <xf numFmtId="3" fontId="6" fillId="0" borderId="0" xfId="277" applyNumberFormat="1" applyFont="1" applyFill="1" applyAlignment="1" applyProtection="1">
      <alignment horizontal="left"/>
    </xf>
    <xf numFmtId="3" fontId="6" fillId="0" borderId="0" xfId="277" applyNumberFormat="1" applyFont="1" applyFill="1" applyAlignment="1" applyProtection="1"/>
    <xf numFmtId="0" fontId="6" fillId="0" borderId="6" xfId="277" applyNumberFormat="1" applyFont="1" applyBorder="1" applyAlignment="1" applyProtection="1">
      <alignment horizontal="centerContinuous"/>
    </xf>
    <xf numFmtId="0" fontId="6" fillId="0" borderId="0" xfId="0" applyNumberFormat="1" applyFont="1" applyAlignment="1" applyProtection="1"/>
    <xf numFmtId="41" fontId="6" fillId="0" borderId="0" xfId="277" applyNumberFormat="1" applyFont="1" applyFill="1" applyBorder="1" applyAlignment="1" applyProtection="1"/>
    <xf numFmtId="3" fontId="6" fillId="0" borderId="0" xfId="277" applyNumberFormat="1" applyFont="1" applyFill="1" applyAlignment="1" applyProtection="1">
      <alignment horizontal="center"/>
    </xf>
    <xf numFmtId="165" fontId="6" fillId="0" borderId="0" xfId="277" applyNumberFormat="1" applyFont="1" applyFill="1" applyAlignment="1" applyProtection="1">
      <alignment horizontal="right"/>
    </xf>
    <xf numFmtId="42" fontId="6" fillId="0" borderId="0" xfId="277" applyNumberFormat="1" applyFont="1" applyBorder="1" applyAlignment="1" applyProtection="1"/>
    <xf numFmtId="0" fontId="4" fillId="0" borderId="0" xfId="277" applyNumberFormat="1" applyFont="1" applyFill="1" applyAlignment="1" applyProtection="1">
      <alignment horizontal="center"/>
    </xf>
    <xf numFmtId="0" fontId="6" fillId="0" borderId="0" xfId="277"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77" applyNumberFormat="1" applyFont="1" applyAlignment="1" applyProtection="1">
      <alignment horizontal="left"/>
    </xf>
    <xf numFmtId="3" fontId="6" fillId="0" borderId="0" xfId="277" applyNumberFormat="1" applyFont="1" applyAlignment="1" applyProtection="1">
      <alignment horizontal="center"/>
    </xf>
    <xf numFmtId="174" fontId="6" fillId="0" borderId="14" xfId="277" applyNumberFormat="1" applyFont="1" applyBorder="1" applyAlignment="1" applyProtection="1"/>
    <xf numFmtId="42" fontId="6" fillId="0" borderId="0" xfId="277" applyNumberFormat="1" applyFont="1" applyAlignment="1" applyProtection="1"/>
    <xf numFmtId="172" fontId="78" fillId="0" borderId="0" xfId="277" applyFont="1" applyAlignment="1" applyProtection="1">
      <alignment horizontal="center" wrapText="1"/>
    </xf>
    <xf numFmtId="0" fontId="6" fillId="0" borderId="0" xfId="0" applyNumberFormat="1" applyFont="1" applyFill="1" applyAlignment="1" applyProtection="1"/>
    <xf numFmtId="42" fontId="6" fillId="0" borderId="0" xfId="277" applyNumberFormat="1" applyFont="1" applyFill="1" applyAlignment="1" applyProtection="1"/>
    <xf numFmtId="41" fontId="6" fillId="0" borderId="0" xfId="277" applyNumberFormat="1" applyFont="1" applyFill="1" applyAlignment="1" applyProtection="1"/>
    <xf numFmtId="43" fontId="6" fillId="0" borderId="0" xfId="86" applyFont="1" applyProtection="1"/>
    <xf numFmtId="0" fontId="6" fillId="0" borderId="0" xfId="277" applyNumberFormat="1" applyFont="1" applyFill="1" applyAlignment="1" applyProtection="1"/>
    <xf numFmtId="171" fontId="6" fillId="0" borderId="0" xfId="277" applyNumberFormat="1" applyFont="1" applyProtection="1"/>
    <xf numFmtId="10" fontId="6" fillId="0" borderId="0" xfId="277" applyNumberFormat="1" applyFont="1" applyAlignment="1" applyProtection="1"/>
    <xf numFmtId="10" fontId="6" fillId="0" borderId="0" xfId="277" applyNumberFormat="1" applyFont="1" applyProtection="1"/>
    <xf numFmtId="0" fontId="33" fillId="0" borderId="0" xfId="0" applyFont="1" applyProtection="1"/>
    <xf numFmtId="10" fontId="6" fillId="0" borderId="0" xfId="289" applyNumberFormat="1" applyFont="1" applyFill="1" applyAlignment="1" applyProtection="1"/>
    <xf numFmtId="185" fontId="6" fillId="0" borderId="0" xfId="277" applyNumberFormat="1" applyFont="1" applyProtection="1"/>
    <xf numFmtId="0" fontId="6" fillId="0" borderId="0" xfId="0" applyNumberFormat="1" applyFont="1" applyFill="1" applyProtection="1"/>
    <xf numFmtId="41" fontId="6" fillId="0" borderId="0" xfId="277" applyNumberFormat="1" applyFont="1" applyAlignment="1" applyProtection="1">
      <alignment horizontal="center"/>
    </xf>
    <xf numFmtId="41" fontId="6" fillId="0" borderId="14" xfId="277" applyNumberFormat="1" applyFont="1" applyBorder="1" applyAlignment="1" applyProtection="1">
      <alignment horizontal="center"/>
    </xf>
    <xf numFmtId="41" fontId="6" fillId="0" borderId="0" xfId="277" applyNumberFormat="1" applyFont="1" applyAlignment="1" applyProtection="1">
      <alignment horizontal="right"/>
    </xf>
    <xf numFmtId="42" fontId="6" fillId="0" borderId="0" xfId="289" applyNumberFormat="1" applyFont="1" applyAlignment="1" applyProtection="1"/>
    <xf numFmtId="43" fontId="6" fillId="0" borderId="0" xfId="277" applyNumberFormat="1" applyFont="1" applyAlignment="1" applyProtection="1">
      <alignment horizontal="right"/>
    </xf>
    <xf numFmtId="43" fontId="6" fillId="0" borderId="0" xfId="86" applyFont="1" applyAlignment="1" applyProtection="1"/>
    <xf numFmtId="172" fontId="6" fillId="0" borderId="0" xfId="277" applyFont="1" applyAlignment="1" applyProtection="1">
      <alignment horizontal="right"/>
    </xf>
    <xf numFmtId="0" fontId="33" fillId="0" borderId="0" xfId="0" applyFont="1" applyAlignment="1" applyProtection="1">
      <alignment horizontal="center"/>
    </xf>
    <xf numFmtId="49" fontId="6" fillId="0" borderId="0" xfId="277" applyNumberFormat="1" applyFont="1" applyAlignment="1" applyProtection="1">
      <alignment horizontal="left"/>
    </xf>
    <xf numFmtId="0" fontId="4" fillId="0" borderId="0" xfId="277" applyNumberFormat="1" applyFont="1" applyAlignment="1" applyProtection="1">
      <alignment horizontal="center" vertical="center"/>
    </xf>
    <xf numFmtId="3" fontId="7" fillId="0" borderId="0" xfId="277" applyNumberFormat="1" applyFont="1" applyAlignment="1" applyProtection="1">
      <alignment horizontal="center"/>
    </xf>
    <xf numFmtId="172" fontId="7" fillId="0" borderId="0" xfId="277" applyFont="1" applyAlignment="1" applyProtection="1">
      <alignment horizontal="center"/>
    </xf>
    <xf numFmtId="49" fontId="7" fillId="0" borderId="0" xfId="277" applyNumberFormat="1" applyFont="1" applyAlignment="1" applyProtection="1">
      <alignment horizontal="center"/>
    </xf>
    <xf numFmtId="0" fontId="11" fillId="0" borderId="0" xfId="277" applyNumberFormat="1" applyFont="1" applyAlignment="1" applyProtection="1">
      <alignment horizontal="center"/>
    </xf>
    <xf numFmtId="172" fontId="11" fillId="0" borderId="0" xfId="277" applyFont="1" applyBorder="1" applyAlignment="1" applyProtection="1">
      <alignment horizontal="center"/>
    </xf>
    <xf numFmtId="3" fontId="7" fillId="0" borderId="0" xfId="277" applyNumberFormat="1" applyFont="1" applyAlignment="1" applyProtection="1"/>
    <xf numFmtId="0" fontId="4" fillId="0" borderId="0" xfId="277" applyNumberFormat="1" applyFont="1" applyBorder="1" applyAlignment="1" applyProtection="1">
      <alignment horizontal="center"/>
    </xf>
    <xf numFmtId="3" fontId="15" fillId="0" borderId="0" xfId="277" applyNumberFormat="1" applyFont="1" applyAlignment="1" applyProtection="1">
      <alignment horizontal="center"/>
    </xf>
    <xf numFmtId="3" fontId="6" fillId="0" borderId="0" xfId="277" applyNumberFormat="1" applyFont="1" applyFill="1" applyBorder="1" applyAlignment="1" applyProtection="1">
      <alignment horizontal="center"/>
    </xf>
    <xf numFmtId="0" fontId="29" fillId="0" borderId="0" xfId="277" applyNumberFormat="1" applyFont="1" applyBorder="1" applyAlignment="1" applyProtection="1"/>
    <xf numFmtId="0" fontId="6" fillId="0" borderId="0" xfId="277" applyNumberFormat="1" applyFont="1" applyAlignment="1" applyProtection="1">
      <alignment horizontal="center" vertical="center"/>
    </xf>
    <xf numFmtId="0" fontId="6" fillId="0" borderId="0" xfId="277" applyNumberFormat="1" applyFont="1" applyBorder="1" applyAlignment="1" applyProtection="1">
      <alignment vertical="center"/>
    </xf>
    <xf numFmtId="3" fontId="6" fillId="0" borderId="0" xfId="277" applyNumberFormat="1" applyFont="1" applyFill="1" applyAlignment="1" applyProtection="1">
      <alignment vertical="center" wrapText="1"/>
    </xf>
    <xf numFmtId="3" fontId="6" fillId="0" borderId="0" xfId="277" applyNumberFormat="1" applyFont="1" applyFill="1" applyAlignment="1" applyProtection="1">
      <alignment horizontal="center" vertical="center"/>
    </xf>
    <xf numFmtId="3" fontId="6" fillId="0" borderId="0" xfId="277" applyNumberFormat="1" applyFont="1" applyFill="1" applyAlignment="1" applyProtection="1">
      <alignment vertical="center"/>
    </xf>
    <xf numFmtId="41" fontId="6" fillId="0" borderId="0" xfId="277" applyNumberFormat="1" applyFont="1" applyFill="1" applyAlignment="1" applyProtection="1">
      <alignment vertical="center"/>
    </xf>
    <xf numFmtId="3" fontId="6" fillId="0" borderId="0" xfId="277" applyNumberFormat="1" applyFont="1" applyAlignment="1" applyProtection="1">
      <alignment vertical="center"/>
    </xf>
    <xf numFmtId="0" fontId="6" fillId="0" borderId="0" xfId="277" applyNumberFormat="1" applyFont="1" applyFill="1" applyBorder="1" applyAlignment="1" applyProtection="1"/>
    <xf numFmtId="0" fontId="6" fillId="0" borderId="0" xfId="277" applyNumberFormat="1" applyFont="1" applyBorder="1" applyAlignment="1" applyProtection="1"/>
    <xf numFmtId="41" fontId="6" fillId="0" borderId="6" xfId="277" applyNumberFormat="1" applyFont="1" applyFill="1" applyBorder="1" applyAlignment="1" applyProtection="1"/>
    <xf numFmtId="0" fontId="33" fillId="0" borderId="0" xfId="0" applyFont="1" applyAlignment="1" applyProtection="1"/>
    <xf numFmtId="172" fontId="7" fillId="0" borderId="0" xfId="277" applyFont="1" applyFill="1" applyAlignment="1" applyProtection="1">
      <alignment horizontal="right"/>
    </xf>
    <xf numFmtId="177" fontId="7" fillId="0" borderId="0" xfId="277" applyNumberFormat="1" applyFont="1" applyFill="1" applyAlignment="1" applyProtection="1">
      <alignment horizontal="right"/>
    </xf>
    <xf numFmtId="166" fontId="7" fillId="0" borderId="0" xfId="277" applyNumberFormat="1" applyFont="1" applyFill="1" applyAlignment="1" applyProtection="1">
      <alignment horizontal="right"/>
    </xf>
    <xf numFmtId="183" fontId="6" fillId="0" borderId="0" xfId="277" applyNumberFormat="1" applyFont="1" applyFill="1" applyAlignment="1" applyProtection="1"/>
    <xf numFmtId="182" fontId="6" fillId="0" borderId="0" xfId="277" applyNumberFormat="1" applyFont="1" applyFill="1" applyAlignment="1" applyProtection="1"/>
    <xf numFmtId="165" fontId="6" fillId="0" borderId="0" xfId="277" applyNumberFormat="1" applyFont="1" applyFill="1" applyAlignment="1" applyProtection="1"/>
    <xf numFmtId="0" fontId="6" fillId="0" borderId="0" xfId="277" applyNumberFormat="1" applyFont="1" applyFill="1" applyAlignment="1" applyProtection="1">
      <alignment horizontal="center" vertical="center"/>
    </xf>
    <xf numFmtId="0" fontId="33" fillId="0" borderId="0" xfId="0" applyFont="1" applyAlignment="1" applyProtection="1">
      <alignment wrapText="1"/>
    </xf>
    <xf numFmtId="0" fontId="33" fillId="0" borderId="0" xfId="0" applyFont="1" applyAlignment="1" applyProtection="1">
      <alignment horizontal="center" wrapText="1"/>
    </xf>
    <xf numFmtId="164" fontId="6" fillId="0" borderId="0" xfId="277" applyNumberFormat="1" applyFont="1" applyFill="1" applyAlignment="1" applyProtection="1">
      <alignment horizontal="center"/>
    </xf>
    <xf numFmtId="0" fontId="4" fillId="32" borderId="0" xfId="277" applyNumberFormat="1" applyFont="1" applyFill="1" applyAlignment="1" applyProtection="1">
      <alignment horizontal="center"/>
    </xf>
    <xf numFmtId="41" fontId="6" fillId="0" borderId="0" xfId="277" applyNumberFormat="1" applyFont="1" applyAlignment="1" applyProtection="1"/>
    <xf numFmtId="165" fontId="6" fillId="0" borderId="0" xfId="277" applyNumberFormat="1" applyFont="1" applyAlignment="1" applyProtection="1"/>
    <xf numFmtId="3" fontId="7" fillId="0" borderId="0" xfId="277" applyNumberFormat="1" applyFont="1" applyFill="1" applyAlignment="1" applyProtection="1">
      <alignment horizontal="right"/>
    </xf>
    <xf numFmtId="181" fontId="6" fillId="0" borderId="0" xfId="86" applyNumberFormat="1" applyFont="1" applyFill="1" applyAlignment="1" applyProtection="1"/>
    <xf numFmtId="172" fontId="6" fillId="0" borderId="0" xfId="277" applyFont="1" applyBorder="1" applyAlignment="1" applyProtection="1"/>
    <xf numFmtId="164" fontId="6" fillId="0" borderId="0" xfId="277" applyNumberFormat="1" applyFont="1" applyFill="1" applyAlignment="1" applyProtection="1">
      <alignment horizontal="left"/>
    </xf>
    <xf numFmtId="0" fontId="33" fillId="0" borderId="0" xfId="0" applyFont="1" applyFill="1" applyProtection="1"/>
    <xf numFmtId="41" fontId="6" fillId="0" borderId="0" xfId="277" applyNumberFormat="1" applyFont="1" applyAlignment="1" applyProtection="1">
      <alignment horizontal="center" vertical="center"/>
    </xf>
    <xf numFmtId="41" fontId="6" fillId="0" borderId="6" xfId="277" applyNumberFormat="1" applyFont="1" applyBorder="1" applyAlignment="1" applyProtection="1"/>
    <xf numFmtId="41" fontId="6" fillId="0" borderId="16" xfId="277" applyNumberFormat="1" applyFont="1" applyBorder="1" applyAlignment="1" applyProtection="1"/>
    <xf numFmtId="164" fontId="6" fillId="0" borderId="0" xfId="277" applyNumberFormat="1" applyFont="1" applyAlignment="1" applyProtection="1">
      <alignment horizontal="center"/>
    </xf>
    <xf numFmtId="0" fontId="86" fillId="0" borderId="0" xfId="277" applyNumberFormat="1" applyFont="1" applyAlignment="1" applyProtection="1">
      <alignment horizontal="center"/>
    </xf>
    <xf numFmtId="3" fontId="6" fillId="0" borderId="0" xfId="277" applyNumberFormat="1" applyFont="1" applyAlignment="1" applyProtection="1">
      <alignment horizontal="right"/>
    </xf>
    <xf numFmtId="172" fontId="6" fillId="0" borderId="0" xfId="277" applyFont="1" applyAlignment="1" applyProtection="1">
      <alignment horizontal="center"/>
    </xf>
    <xf numFmtId="172" fontId="6" fillId="0" borderId="0" xfId="277" applyFont="1" applyFill="1" applyAlignment="1" applyProtection="1">
      <alignment horizontal="center"/>
    </xf>
    <xf numFmtId="0" fontId="0" fillId="0" borderId="0" xfId="0" applyAlignment="1" applyProtection="1">
      <alignment horizontal="center"/>
    </xf>
    <xf numFmtId="0" fontId="7" fillId="0" borderId="0" xfId="277" applyNumberFormat="1" applyFont="1" applyAlignment="1" applyProtection="1">
      <alignment horizontal="center"/>
    </xf>
    <xf numFmtId="3" fontId="11" fillId="0" borderId="0" xfId="277" applyNumberFormat="1" applyFont="1" applyAlignment="1" applyProtection="1">
      <alignment horizontal="center"/>
    </xf>
    <xf numFmtId="3" fontId="7" fillId="0" borderId="0" xfId="277" applyNumberFormat="1" applyFont="1" applyFill="1" applyAlignment="1" applyProtection="1"/>
    <xf numFmtId="3" fontId="11" fillId="0" borderId="0" xfId="277" applyNumberFormat="1" applyFont="1" applyFill="1" applyAlignment="1" applyProtection="1"/>
    <xf numFmtId="3" fontId="11" fillId="0" borderId="0" xfId="277" applyNumberFormat="1" applyFont="1" applyAlignment="1" applyProtection="1"/>
    <xf numFmtId="41" fontId="151" fillId="32" borderId="0" xfId="277" applyNumberFormat="1" applyFont="1" applyFill="1" applyAlignment="1" applyProtection="1">
      <alignment wrapText="1"/>
    </xf>
    <xf numFmtId="0" fontId="33" fillId="0" borderId="0" xfId="0" applyFont="1" applyBorder="1" applyProtection="1"/>
    <xf numFmtId="43" fontId="13" fillId="0" borderId="0" xfId="86" applyNumberFormat="1" applyFont="1" applyAlignment="1" applyProtection="1"/>
    <xf numFmtId="41" fontId="6" fillId="0" borderId="0" xfId="277" applyNumberFormat="1" applyFont="1" applyFill="1" applyAlignment="1" applyProtection="1">
      <alignment horizontal="center"/>
    </xf>
    <xf numFmtId="3" fontId="94" fillId="0" borderId="0" xfId="277" applyNumberFormat="1" applyFont="1" applyFill="1" applyAlignment="1" applyProtection="1">
      <alignment horizontal="right"/>
    </xf>
    <xf numFmtId="41" fontId="6" fillId="0" borderId="0" xfId="277" applyNumberFormat="1" applyFont="1" applyBorder="1" applyAlignment="1" applyProtection="1"/>
    <xf numFmtId="3" fontId="6" fillId="0" borderId="0" xfId="277" applyNumberFormat="1" applyFont="1" applyAlignment="1" applyProtection="1">
      <alignment vertical="center" wrapText="1"/>
    </xf>
    <xf numFmtId="41" fontId="94" fillId="0" borderId="0" xfId="277" applyNumberFormat="1" applyFont="1" applyFill="1" applyAlignment="1" applyProtection="1">
      <alignment horizontal="right"/>
    </xf>
    <xf numFmtId="3" fontId="6" fillId="0" borderId="0" xfId="277" applyNumberFormat="1" applyFont="1" applyAlignment="1" applyProtection="1">
      <alignment horizontal="center" vertical="center"/>
    </xf>
    <xf numFmtId="41" fontId="6" fillId="0" borderId="0" xfId="277" applyNumberFormat="1" applyFont="1" applyAlignment="1" applyProtection="1">
      <alignment vertical="center"/>
    </xf>
    <xf numFmtId="3" fontId="6" fillId="0" borderId="0" xfId="277" applyNumberFormat="1" applyFont="1" applyAlignment="1" applyProtection="1">
      <alignment horizontal="left" wrapText="1"/>
    </xf>
    <xf numFmtId="0" fontId="13" fillId="0" borderId="0" xfId="0" applyFont="1" applyAlignment="1" applyProtection="1">
      <alignment horizontal="left" wrapText="1"/>
    </xf>
    <xf numFmtId="43" fontId="6" fillId="0" borderId="0" xfId="289" applyNumberFormat="1" applyFont="1" applyFill="1" applyAlignment="1" applyProtection="1"/>
    <xf numFmtId="166" fontId="6" fillId="0" borderId="0" xfId="277" applyNumberFormat="1" applyFont="1" applyAlignment="1" applyProtection="1"/>
    <xf numFmtId="181" fontId="6" fillId="0" borderId="0" xfId="86" applyNumberFormat="1" applyFont="1" applyAlignment="1" applyProtection="1"/>
    <xf numFmtId="167" fontId="6" fillId="0" borderId="0" xfId="277" applyNumberFormat="1" applyFont="1" applyAlignment="1" applyProtection="1"/>
    <xf numFmtId="172" fontId="24" fillId="0" borderId="0" xfId="277" applyFont="1" applyAlignment="1" applyProtection="1"/>
    <xf numFmtId="164" fontId="6" fillId="0" borderId="0" xfId="277" applyNumberFormat="1" applyFont="1" applyBorder="1" applyAlignment="1" applyProtection="1">
      <alignment horizontal="left"/>
    </xf>
    <xf numFmtId="168" fontId="6" fillId="0" borderId="0" xfId="277" applyNumberFormat="1" applyFont="1" applyAlignment="1" applyProtection="1"/>
    <xf numFmtId="10" fontId="6" fillId="0" borderId="0" xfId="277" applyNumberFormat="1" applyFont="1" applyFill="1" applyAlignment="1" applyProtection="1">
      <alignment horizontal="right"/>
    </xf>
    <xf numFmtId="10" fontId="33" fillId="0" borderId="0" xfId="289" applyNumberFormat="1" applyFont="1" applyProtection="1"/>
    <xf numFmtId="3" fontId="24" fillId="0" borderId="0" xfId="277" applyNumberFormat="1" applyFont="1" applyAlignment="1" applyProtection="1"/>
    <xf numFmtId="167" fontId="6" fillId="0" borderId="0" xfId="277" applyNumberFormat="1" applyFont="1" applyFill="1" applyAlignment="1" applyProtection="1"/>
    <xf numFmtId="166" fontId="6" fillId="0" borderId="0" xfId="277" applyNumberFormat="1" applyFont="1" applyAlignment="1" applyProtection="1">
      <alignment horizontal="center"/>
    </xf>
    <xf numFmtId="187" fontId="24" fillId="0" borderId="0" xfId="277" applyNumberFormat="1" applyFont="1" applyAlignment="1" applyProtection="1">
      <alignment horizontal="center"/>
    </xf>
    <xf numFmtId="188" fontId="6" fillId="0" borderId="0" xfId="277" applyNumberFormat="1" applyFont="1" applyAlignment="1" applyProtection="1"/>
    <xf numFmtId="164" fontId="6" fillId="0" borderId="0" xfId="277" applyNumberFormat="1" applyFont="1" applyFill="1" applyBorder="1" applyAlignment="1" applyProtection="1">
      <alignment horizontal="left"/>
    </xf>
    <xf numFmtId="178" fontId="6" fillId="0" borderId="0" xfId="277"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77" applyNumberFormat="1" applyFont="1" applyAlignment="1" applyProtection="1"/>
    <xf numFmtId="43" fontId="24" fillId="0" borderId="0" xfId="86" applyFont="1" applyAlignment="1" applyProtection="1"/>
    <xf numFmtId="10" fontId="6" fillId="0" borderId="0" xfId="277" applyNumberFormat="1" applyFont="1" applyFill="1" applyAlignment="1" applyProtection="1">
      <alignment horizontal="left"/>
    </xf>
    <xf numFmtId="168" fontId="6" fillId="0" borderId="0" xfId="277" applyNumberFormat="1" applyFont="1" applyFill="1" applyAlignment="1" applyProtection="1">
      <alignment horizontal="left"/>
    </xf>
    <xf numFmtId="0" fontId="13" fillId="0" borderId="0" xfId="0" applyFont="1" applyProtection="1"/>
    <xf numFmtId="41" fontId="6" fillId="0" borderId="0" xfId="277" applyNumberFormat="1" applyFont="1" applyFill="1" applyAlignment="1" applyProtection="1">
      <alignment horizontal="right"/>
    </xf>
    <xf numFmtId="178" fontId="6" fillId="0" borderId="0" xfId="277" applyNumberFormat="1" applyFont="1" applyAlignment="1" applyProtection="1"/>
    <xf numFmtId="164" fontId="6" fillId="0" borderId="0" xfId="277" applyNumberFormat="1" applyFont="1" applyFill="1" applyBorder="1" applyAlignment="1" applyProtection="1">
      <alignment horizontal="left" vertical="center"/>
    </xf>
    <xf numFmtId="41" fontId="6" fillId="0" borderId="0" xfId="277" applyNumberFormat="1" applyFont="1" applyFill="1" applyAlignment="1" applyProtection="1">
      <alignment horizontal="center" vertical="center"/>
    </xf>
    <xf numFmtId="179" fontId="6" fillId="0" borderId="0" xfId="277" applyNumberFormat="1" applyFont="1" applyAlignment="1" applyProtection="1"/>
    <xf numFmtId="173" fontId="6" fillId="0" borderId="14" xfId="86" applyNumberFormat="1" applyFont="1" applyBorder="1" applyAlignment="1" applyProtection="1"/>
    <xf numFmtId="0" fontId="6" fillId="0" borderId="0" xfId="277" applyNumberFormat="1" applyFont="1" applyFill="1" applyBorder="1" applyAlignment="1" applyProtection="1">
      <alignment horizontal="left"/>
    </xf>
    <xf numFmtId="0" fontId="7" fillId="0" borderId="0" xfId="277" applyNumberFormat="1" applyFont="1" applyAlignment="1" applyProtection="1"/>
    <xf numFmtId="0" fontId="6" fillId="0" borderId="0" xfId="0" applyFont="1" applyFill="1" applyAlignment="1" applyProtection="1">
      <alignment horizontal="left"/>
    </xf>
    <xf numFmtId="0" fontId="6" fillId="0" borderId="0" xfId="277" applyNumberFormat="1" applyFont="1" applyFill="1" applyBorder="1" applyProtection="1"/>
    <xf numFmtId="3" fontId="6" fillId="0" borderId="0" xfId="277" applyNumberFormat="1" applyFont="1" applyFill="1" applyBorder="1" applyAlignment="1" applyProtection="1"/>
    <xf numFmtId="172" fontId="6" fillId="0" borderId="0" xfId="277" applyFont="1" applyFill="1" applyBorder="1" applyAlignment="1" applyProtection="1"/>
    <xf numFmtId="172" fontId="6" fillId="0" borderId="0" xfId="277" applyFont="1" applyFill="1" applyBorder="1" applyAlignment="1" applyProtection="1">
      <alignment horizontal="center"/>
    </xf>
    <xf numFmtId="3" fontId="6" fillId="0" borderId="0" xfId="277" applyNumberFormat="1" applyFont="1" applyFill="1" applyBorder="1" applyAlignment="1" applyProtection="1">
      <alignment horizontal="left"/>
    </xf>
    <xf numFmtId="0" fontId="6" fillId="0" borderId="0" xfId="277" applyNumberFormat="1" applyFont="1" applyFill="1" applyBorder="1" applyAlignment="1" applyProtection="1">
      <alignment horizontal="center"/>
    </xf>
    <xf numFmtId="49" fontId="6" fillId="0" borderId="0" xfId="277" applyNumberFormat="1" applyFont="1" applyFill="1" applyBorder="1" applyProtection="1"/>
    <xf numFmtId="49" fontId="6" fillId="0" borderId="0" xfId="277" applyNumberFormat="1" applyFont="1" applyFill="1" applyBorder="1" applyAlignment="1" applyProtection="1"/>
    <xf numFmtId="49" fontId="6" fillId="0" borderId="0" xfId="277" applyNumberFormat="1" applyFont="1" applyFill="1" applyBorder="1" applyAlignment="1" applyProtection="1">
      <alignment horizontal="center"/>
    </xf>
    <xf numFmtId="3" fontId="7" fillId="0" borderId="0" xfId="277" applyNumberFormat="1" applyFont="1" applyFill="1" applyBorder="1" applyAlignment="1" applyProtection="1">
      <alignment horizontal="right"/>
    </xf>
    <xf numFmtId="165" fontId="7" fillId="0" borderId="0" xfId="277" applyNumberFormat="1" applyFont="1" applyFill="1" applyBorder="1" applyAlignment="1" applyProtection="1">
      <alignment horizontal="right"/>
    </xf>
    <xf numFmtId="0" fontId="7" fillId="0" borderId="0" xfId="277" applyNumberFormat="1" applyFont="1" applyFill="1" applyAlignment="1" applyProtection="1"/>
    <xf numFmtId="3" fontId="6" fillId="0" borderId="0" xfId="277" applyNumberFormat="1" applyFont="1" applyFill="1" applyProtection="1"/>
    <xf numFmtId="3" fontId="6" fillId="0" borderId="0" xfId="277" applyNumberFormat="1" applyFont="1" applyFill="1" applyAlignment="1" applyProtection="1">
      <alignment horizontal="center" wrapText="1"/>
    </xf>
    <xf numFmtId="173" fontId="6" fillId="0" borderId="0" xfId="86" applyNumberFormat="1" applyFont="1" applyFill="1" applyAlignment="1" applyProtection="1"/>
    <xf numFmtId="4" fontId="6" fillId="0" borderId="0" xfId="277" applyNumberFormat="1" applyFont="1" applyAlignment="1" applyProtection="1"/>
    <xf numFmtId="172" fontId="7" fillId="0" borderId="0" xfId="277" applyFont="1" applyAlignment="1" applyProtection="1">
      <alignment horizontal="right"/>
    </xf>
    <xf numFmtId="165" fontId="7" fillId="0" borderId="0" xfId="277" applyNumberFormat="1" applyFont="1" applyAlignment="1" applyProtection="1"/>
    <xf numFmtId="0" fontId="11" fillId="0" borderId="0" xfId="277" applyNumberFormat="1" applyFont="1" applyFill="1" applyBorder="1" applyAlignment="1" applyProtection="1"/>
    <xf numFmtId="3" fontId="6" fillId="0" borderId="6" xfId="277" applyNumberFormat="1" applyFont="1" applyFill="1" applyBorder="1" applyAlignment="1" applyProtection="1">
      <alignment horizontal="center"/>
    </xf>
    <xf numFmtId="41" fontId="7" fillId="0" borderId="0" xfId="277" applyNumberFormat="1" applyFont="1" applyFill="1" applyAlignment="1" applyProtection="1"/>
    <xf numFmtId="0" fontId="15" fillId="0" borderId="0" xfId="277" applyNumberFormat="1" applyFont="1" applyFill="1" applyBorder="1" applyAlignment="1" applyProtection="1">
      <alignment horizontal="left"/>
    </xf>
    <xf numFmtId="3" fontId="6" fillId="32" borderId="0" xfId="277" applyNumberFormat="1" applyFont="1" applyFill="1" applyAlignment="1" applyProtection="1"/>
    <xf numFmtId="0" fontId="13" fillId="0" borderId="0" xfId="0" applyFont="1" applyFill="1" applyProtection="1"/>
    <xf numFmtId="0" fontId="6" fillId="0" borderId="0" xfId="277" applyNumberFormat="1" applyFont="1" applyFill="1" applyAlignment="1" applyProtection="1">
      <alignment horizontal="left"/>
    </xf>
    <xf numFmtId="0" fontId="6" fillId="0" borderId="6" xfId="277"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77" applyNumberFormat="1" applyFont="1" applyFill="1" applyAlignment="1" applyProtection="1"/>
    <xf numFmtId="169" fontId="6" fillId="0" borderId="0" xfId="277" applyNumberFormat="1" applyFont="1" applyFill="1" applyBorder="1" applyAlignment="1" applyProtection="1"/>
    <xf numFmtId="10" fontId="6" fillId="0" borderId="6" xfId="277" applyNumberFormat="1" applyFont="1" applyFill="1" applyBorder="1" applyAlignment="1" applyProtection="1"/>
    <xf numFmtId="169" fontId="6" fillId="0" borderId="6" xfId="277" applyNumberFormat="1" applyFont="1" applyFill="1" applyBorder="1" applyAlignment="1" applyProtection="1"/>
    <xf numFmtId="181" fontId="13" fillId="0" borderId="0" xfId="86" applyNumberFormat="1" applyFont="1" applyFill="1" applyProtection="1"/>
    <xf numFmtId="0" fontId="4" fillId="31" borderId="0" xfId="277" applyNumberFormat="1" applyFont="1" applyFill="1" applyAlignment="1" applyProtection="1">
      <alignment horizontal="center"/>
    </xf>
    <xf numFmtId="0" fontId="6" fillId="31" borderId="0" xfId="277" applyNumberFormat="1" applyFont="1" applyFill="1" applyAlignment="1" applyProtection="1">
      <alignment horizontal="center"/>
    </xf>
    <xf numFmtId="0" fontId="11" fillId="31" borderId="0" xfId="277" applyNumberFormat="1" applyFont="1" applyFill="1" applyBorder="1" applyAlignment="1" applyProtection="1"/>
    <xf numFmtId="0" fontId="6" fillId="31" borderId="0" xfId="277" applyNumberFormat="1" applyFont="1" applyFill="1" applyBorder="1" applyAlignment="1" applyProtection="1">
      <alignment horizontal="left"/>
    </xf>
    <xf numFmtId="3" fontId="6" fillId="31" borderId="0" xfId="277" applyNumberFormat="1" applyFont="1" applyFill="1" applyAlignment="1" applyProtection="1"/>
    <xf numFmtId="172" fontId="6" fillId="31" borderId="0" xfId="277" applyFont="1" applyFill="1" applyAlignment="1" applyProtection="1"/>
    <xf numFmtId="3" fontId="7" fillId="31" borderId="0" xfId="277" applyNumberFormat="1" applyFont="1" applyFill="1" applyAlignment="1" applyProtection="1"/>
    <xf numFmtId="166" fontId="7" fillId="31" borderId="0" xfId="277" applyNumberFormat="1" applyFont="1" applyFill="1" applyProtection="1"/>
    <xf numFmtId="0" fontId="6" fillId="31" borderId="0" xfId="277" applyNumberFormat="1" applyFont="1" applyFill="1" applyBorder="1" applyAlignment="1" applyProtection="1"/>
    <xf numFmtId="3" fontId="6" fillId="31" borderId="6" xfId="277" applyNumberFormat="1" applyFont="1" applyFill="1" applyBorder="1" applyAlignment="1" applyProtection="1">
      <alignment horizontal="center"/>
    </xf>
    <xf numFmtId="41" fontId="6" fillId="31" borderId="0" xfId="277" applyNumberFormat="1" applyFont="1" applyFill="1" applyAlignment="1" applyProtection="1"/>
    <xf numFmtId="0" fontId="15" fillId="31" borderId="0" xfId="277" applyNumberFormat="1" applyFont="1" applyFill="1" applyBorder="1" applyAlignment="1" applyProtection="1">
      <alignment horizontal="left"/>
    </xf>
    <xf numFmtId="0" fontId="0" fillId="31" borderId="0" xfId="0" applyFill="1" applyProtection="1"/>
    <xf numFmtId="0" fontId="6" fillId="31" borderId="0" xfId="277" applyNumberFormat="1" applyFont="1" applyFill="1" applyProtection="1"/>
    <xf numFmtId="0" fontId="33" fillId="31" borderId="0" xfId="0" applyFont="1" applyFill="1" applyProtection="1"/>
    <xf numFmtId="41" fontId="20" fillId="31" borderId="0" xfId="277" applyNumberFormat="1" applyFont="1" applyFill="1" applyAlignment="1" applyProtection="1"/>
    <xf numFmtId="10" fontId="6" fillId="31" borderId="0" xfId="289" applyNumberFormat="1" applyFont="1" applyFill="1" applyAlignment="1" applyProtection="1"/>
    <xf numFmtId="41" fontId="20" fillId="31" borderId="6" xfId="277" applyNumberFormat="1" applyFont="1" applyFill="1" applyBorder="1" applyAlignment="1" applyProtection="1"/>
    <xf numFmtId="0" fontId="6" fillId="31" borderId="0" xfId="277" applyNumberFormat="1" applyFont="1" applyFill="1" applyAlignment="1" applyProtection="1">
      <alignment horizontal="left"/>
    </xf>
    <xf numFmtId="3" fontId="24" fillId="31" borderId="0" xfId="277" applyNumberFormat="1" applyFont="1" applyFill="1" applyAlignment="1" applyProtection="1"/>
    <xf numFmtId="0" fontId="6" fillId="31" borderId="6" xfId="277" applyNumberFormat="1" applyFont="1" applyFill="1" applyBorder="1" applyAlignment="1" applyProtection="1">
      <alignment horizontal="center"/>
    </xf>
    <xf numFmtId="181" fontId="6" fillId="31" borderId="6" xfId="86" applyNumberFormat="1" applyFont="1" applyFill="1" applyBorder="1" applyAlignment="1" applyProtection="1">
      <alignment horizontal="center"/>
    </xf>
    <xf numFmtId="10" fontId="6" fillId="31" borderId="0" xfId="277" applyNumberFormat="1" applyFont="1" applyFill="1" applyAlignment="1" applyProtection="1"/>
    <xf numFmtId="169" fontId="24" fillId="31" borderId="0" xfId="277" applyNumberFormat="1" applyFont="1" applyFill="1" applyAlignment="1" applyProtection="1"/>
    <xf numFmtId="169" fontId="6" fillId="31" borderId="17" xfId="277" applyNumberFormat="1" applyFont="1" applyFill="1" applyBorder="1" applyAlignment="1" applyProtection="1"/>
    <xf numFmtId="3" fontId="6" fillId="0" borderId="0" xfId="277" quotePrefix="1" applyNumberFormat="1" applyFont="1" applyAlignment="1" applyProtection="1"/>
    <xf numFmtId="169" fontId="6" fillId="31" borderId="0" xfId="277" applyNumberFormat="1" applyFont="1" applyFill="1" applyBorder="1" applyAlignment="1" applyProtection="1"/>
    <xf numFmtId="10" fontId="6" fillId="31" borderId="0" xfId="277" applyNumberFormat="1" applyFont="1" applyFill="1" applyBorder="1" applyAlignment="1" applyProtection="1"/>
    <xf numFmtId="41" fontId="6" fillId="31" borderId="6" xfId="277" applyNumberFormat="1" applyFont="1" applyFill="1" applyBorder="1" applyAlignment="1" applyProtection="1"/>
    <xf numFmtId="169" fontId="6" fillId="31" borderId="6" xfId="277" applyNumberFormat="1" applyFont="1" applyFill="1" applyBorder="1" applyAlignment="1" applyProtection="1"/>
    <xf numFmtId="181" fontId="23" fillId="31" borderId="0" xfId="86" applyNumberFormat="1" applyFont="1" applyFill="1" applyProtection="1"/>
    <xf numFmtId="3" fontId="7" fillId="31" borderId="0" xfId="277" applyNumberFormat="1" applyFont="1" applyFill="1" applyAlignment="1" applyProtection="1">
      <alignment horizontal="right"/>
    </xf>
    <xf numFmtId="169" fontId="7" fillId="31" borderId="0" xfId="277" applyNumberFormat="1" applyFont="1" applyFill="1" applyAlignment="1" applyProtection="1"/>
    <xf numFmtId="3" fontId="7" fillId="0" borderId="0" xfId="277" quotePrefix="1" applyNumberFormat="1" applyFont="1" applyAlignment="1" applyProtection="1"/>
    <xf numFmtId="0" fontId="0" fillId="0" borderId="0" xfId="0" applyFill="1" applyProtection="1"/>
    <xf numFmtId="0" fontId="6" fillId="0" borderId="0" xfId="0" applyFont="1" applyFill="1" applyProtection="1"/>
    <xf numFmtId="0" fontId="6" fillId="0" borderId="0" xfId="0" applyFont="1" applyProtection="1"/>
    <xf numFmtId="172" fontId="6" fillId="0" borderId="0" xfId="277" applyNumberFormat="1" applyFont="1" applyAlignment="1" applyProtection="1"/>
    <xf numFmtId="172" fontId="6" fillId="0" borderId="0" xfId="277" applyFont="1" applyFill="1" applyAlignment="1" applyProtection="1">
      <alignment horizontal="right"/>
    </xf>
    <xf numFmtId="172" fontId="11" fillId="0" borderId="0" xfId="277" applyFont="1" applyAlignment="1" applyProtection="1">
      <alignment horizontal="center"/>
    </xf>
    <xf numFmtId="172" fontId="4" fillId="0" borderId="0" xfId="277" applyFont="1" applyFill="1" applyAlignment="1" applyProtection="1">
      <alignment horizontal="center"/>
    </xf>
    <xf numFmtId="172" fontId="4" fillId="0" borderId="0" xfId="277" applyFont="1" applyFill="1" applyAlignment="1" applyProtection="1"/>
    <xf numFmtId="10" fontId="6" fillId="0" borderId="0" xfId="277" applyNumberFormat="1" applyFont="1" applyFill="1" applyProtection="1"/>
    <xf numFmtId="0" fontId="13" fillId="0" borderId="0" xfId="0" applyFont="1" applyAlignment="1" applyProtection="1"/>
    <xf numFmtId="0" fontId="23" fillId="0" borderId="0" xfId="0" applyFont="1" applyAlignment="1" applyProtection="1"/>
    <xf numFmtId="0" fontId="27" fillId="0" borderId="0" xfId="277" applyNumberFormat="1" applyFont="1" applyFill="1" applyAlignment="1" applyProtection="1"/>
    <xf numFmtId="0" fontId="108" fillId="0" borderId="0" xfId="277" applyNumberFormat="1" applyFont="1" applyFill="1" applyAlignment="1" applyProtection="1"/>
    <xf numFmtId="0" fontId="27" fillId="0" borderId="0" xfId="277" applyNumberFormat="1" applyFont="1" applyFill="1" applyProtection="1"/>
    <xf numFmtId="172" fontId="27" fillId="0" borderId="0" xfId="277" applyFont="1" applyFill="1" applyAlignment="1" applyProtection="1"/>
    <xf numFmtId="0" fontId="27" fillId="0" borderId="0" xfId="0" applyFont="1" applyAlignment="1" applyProtection="1">
      <alignment vertical="top" wrapText="1"/>
    </xf>
    <xf numFmtId="172" fontId="27" fillId="0" borderId="0" xfId="277" applyFont="1" applyFill="1" applyAlignment="1" applyProtection="1">
      <alignment wrapText="1"/>
    </xf>
    <xf numFmtId="172" fontId="108" fillId="0" borderId="0" xfId="277" applyFont="1" applyFill="1" applyAlignment="1" applyProtection="1"/>
    <xf numFmtId="172" fontId="24" fillId="0" borderId="0" xfId="277" applyFont="1" applyFill="1" applyAlignment="1" applyProtection="1"/>
    <xf numFmtId="0" fontId="4" fillId="0" borderId="0" xfId="277" applyNumberFormat="1" applyFont="1" applyFill="1" applyProtection="1"/>
    <xf numFmtId="172" fontId="4" fillId="0" borderId="0" xfId="277" applyFont="1" applyFill="1" applyAlignment="1" applyProtection="1">
      <alignment horizontal="center" wrapText="1"/>
    </xf>
    <xf numFmtId="172" fontId="78" fillId="0" borderId="0" xfId="277" applyFont="1" applyFill="1" applyAlignment="1" applyProtection="1">
      <alignment horizontal="center" wrapText="1"/>
    </xf>
    <xf numFmtId="0" fontId="6" fillId="32" borderId="0" xfId="277" applyNumberFormat="1" applyFont="1" applyFill="1" applyAlignment="1" applyProtection="1">
      <alignment vertical="top" wrapText="1"/>
    </xf>
    <xf numFmtId="0" fontId="13" fillId="32" borderId="0" xfId="0" applyFont="1" applyFill="1" applyProtection="1"/>
    <xf numFmtId="0" fontId="94" fillId="0" borderId="0" xfId="277" applyNumberFormat="1" applyFont="1" applyFill="1" applyAlignment="1" applyProtection="1">
      <alignment horizontal="center"/>
    </xf>
    <xf numFmtId="172" fontId="24" fillId="0" borderId="0" xfId="277" applyFont="1" applyAlignment="1" applyProtection="1">
      <alignment wrapText="1"/>
    </xf>
    <xf numFmtId="173" fontId="20" fillId="0" borderId="0" xfId="86" applyNumberFormat="1" applyFont="1" applyFill="1" applyAlignment="1" applyProtection="1">
      <alignment horizontal="right"/>
    </xf>
    <xf numFmtId="10" fontId="20" fillId="30" borderId="0" xfId="289" applyNumberFormat="1" applyFont="1" applyFill="1" applyAlignment="1" applyProtection="1">
      <protection locked="0"/>
    </xf>
    <xf numFmtId="0" fontId="20" fillId="30" borderId="0" xfId="86" applyNumberFormat="1" applyFont="1" applyFill="1" applyAlignment="1" applyProtection="1">
      <protection locked="0"/>
    </xf>
    <xf numFmtId="0" fontId="6" fillId="0" borderId="0" xfId="0" applyFont="1" applyAlignment="1" applyProtection="1">
      <alignment horizontal="center"/>
    </xf>
    <xf numFmtId="0" fontId="13" fillId="0" borderId="0" xfId="220" applyFont="1" applyBorder="1" applyProtection="1"/>
    <xf numFmtId="0" fontId="6" fillId="0" borderId="0" xfId="220" applyFont="1" applyBorder="1" applyAlignment="1" applyProtection="1">
      <alignment horizontal="center"/>
    </xf>
    <xf numFmtId="0" fontId="13" fillId="0" borderId="0" xfId="220" applyFont="1" applyBorder="1" applyAlignment="1" applyProtection="1">
      <alignment horizontal="center"/>
    </xf>
    <xf numFmtId="0" fontId="18" fillId="0" borderId="0" xfId="270" applyFont="1" applyAlignment="1" applyProtection="1">
      <alignment horizontal="center"/>
    </xf>
    <xf numFmtId="0" fontId="13" fillId="0" borderId="0" xfId="0" applyFont="1" applyBorder="1" applyProtection="1"/>
    <xf numFmtId="0" fontId="13" fillId="0" borderId="0" xfId="220" applyFont="1" applyFill="1" applyBorder="1" applyProtection="1"/>
    <xf numFmtId="0" fontId="13" fillId="0" borderId="0" xfId="220" applyFont="1" applyFill="1" applyBorder="1" applyAlignment="1" applyProtection="1">
      <alignment horizontal="center" wrapText="1"/>
    </xf>
    <xf numFmtId="0" fontId="10" fillId="0" borderId="0" xfId="220" applyFont="1" applyFill="1" applyBorder="1" applyAlignment="1" applyProtection="1">
      <alignment horizontal="left"/>
    </xf>
    <xf numFmtId="0" fontId="13" fillId="0" borderId="0" xfId="220" applyFont="1" applyFill="1" applyBorder="1" applyAlignment="1" applyProtection="1"/>
    <xf numFmtId="0" fontId="13" fillId="0" borderId="0" xfId="220" applyNumberFormat="1" applyFont="1" applyFill="1" applyBorder="1" applyAlignment="1" applyProtection="1">
      <alignment horizontal="center"/>
    </xf>
    <xf numFmtId="3" fontId="13" fillId="0" borderId="0" xfId="220" applyNumberFormat="1" applyFont="1" applyFill="1" applyBorder="1" applyAlignment="1" applyProtection="1"/>
    <xf numFmtId="0" fontId="10" fillId="0" borderId="0" xfId="220" applyNumberFormat="1" applyFont="1" applyFill="1" applyBorder="1" applyAlignment="1" applyProtection="1">
      <alignment horizontal="left"/>
    </xf>
    <xf numFmtId="173" fontId="0" fillId="0" borderId="0" xfId="86" applyNumberFormat="1" applyFont="1" applyFill="1" applyProtection="1"/>
    <xf numFmtId="173" fontId="13" fillId="0" borderId="0" xfId="89" applyNumberFormat="1" applyFont="1" applyFill="1" applyBorder="1" applyAlignment="1" applyProtection="1">
      <alignment horizontal="right"/>
    </xf>
    <xf numFmtId="0" fontId="13" fillId="0" borderId="0" xfId="220" applyNumberFormat="1" applyFont="1" applyFill="1" applyBorder="1" applyAlignment="1" applyProtection="1">
      <alignment horizontal="left"/>
    </xf>
    <xf numFmtId="0" fontId="13" fillId="0" borderId="0" xfId="220" applyFont="1" applyBorder="1" applyAlignment="1" applyProtection="1"/>
    <xf numFmtId="0" fontId="8" fillId="0" borderId="0" xfId="220" applyFont="1" applyFill="1" applyBorder="1" applyAlignment="1" applyProtection="1">
      <alignment horizontal="left"/>
    </xf>
    <xf numFmtId="0" fontId="3" fillId="0" borderId="0" xfId="0" applyFont="1" applyProtection="1"/>
    <xf numFmtId="173" fontId="9" fillId="30" borderId="0" xfId="89" applyNumberFormat="1" applyFont="1" applyFill="1" applyBorder="1" applyAlignment="1" applyProtection="1">
      <alignment horizontal="right"/>
      <protection locked="0"/>
    </xf>
    <xf numFmtId="49" fontId="6" fillId="0" borderId="0" xfId="270" applyNumberFormat="1" applyFont="1" applyAlignment="1" applyProtection="1">
      <alignment horizontal="center"/>
    </xf>
    <xf numFmtId="0" fontId="0" fillId="0" borderId="0" xfId="0" applyAlignment="1" applyProtection="1"/>
    <xf numFmtId="0" fontId="10" fillId="0" borderId="0" xfId="220" applyFont="1" applyBorder="1" applyAlignment="1" applyProtection="1">
      <alignment horizontal="center"/>
    </xf>
    <xf numFmtId="0" fontId="10" fillId="0" borderId="0" xfId="220" applyFont="1" applyFill="1" applyBorder="1" applyAlignment="1" applyProtection="1">
      <alignment horizontal="center"/>
    </xf>
    <xf numFmtId="0" fontId="10" fillId="0" borderId="0" xfId="220" applyFont="1" applyBorder="1" applyAlignment="1" applyProtection="1"/>
    <xf numFmtId="0" fontId="14" fillId="0" borderId="0" xfId="0" applyFont="1" applyBorder="1" applyProtection="1"/>
    <xf numFmtId="3" fontId="14" fillId="0" borderId="0" xfId="220" applyNumberFormat="1" applyFont="1" applyBorder="1" applyAlignment="1" applyProtection="1">
      <alignment horizontal="center"/>
    </xf>
    <xf numFmtId="0" fontId="10" fillId="0" borderId="0" xfId="220" applyNumberFormat="1" applyFont="1" applyFill="1" applyBorder="1" applyAlignment="1" applyProtection="1">
      <alignment horizontal="center"/>
    </xf>
    <xf numFmtId="0" fontId="18" fillId="0" borderId="0" xfId="220" applyFont="1" applyFill="1" applyBorder="1" applyAlignment="1" applyProtection="1">
      <alignment horizontal="center"/>
    </xf>
    <xf numFmtId="0" fontId="14" fillId="0" borderId="0" xfId="220" applyNumberFormat="1" applyFont="1" applyFill="1" applyBorder="1" applyAlignment="1" applyProtection="1">
      <alignment horizontal="left"/>
    </xf>
    <xf numFmtId="173" fontId="14" fillId="0" borderId="0" xfId="89" applyNumberFormat="1" applyFont="1" applyFill="1" applyBorder="1" applyAlignment="1" applyProtection="1">
      <alignment horizontal="right"/>
    </xf>
    <xf numFmtId="164" fontId="13" fillId="0" borderId="0" xfId="291" applyNumberFormat="1" applyFont="1" applyFill="1" applyBorder="1" applyAlignment="1" applyProtection="1"/>
    <xf numFmtId="173" fontId="13" fillId="0" borderId="0" xfId="89" applyNumberFormat="1" applyFont="1" applyFill="1" applyBorder="1" applyAlignment="1" applyProtection="1">
      <alignment horizontal="left"/>
    </xf>
    <xf numFmtId="0" fontId="9" fillId="0" borderId="0" xfId="220" applyFont="1" applyFill="1" applyBorder="1" applyAlignment="1" applyProtection="1"/>
    <xf numFmtId="0" fontId="88" fillId="0" borderId="0" xfId="0" applyFont="1" applyBorder="1" applyAlignment="1" applyProtection="1">
      <alignment horizontal="center"/>
    </xf>
    <xf numFmtId="38" fontId="13" fillId="0" borderId="0" xfId="0" applyNumberFormat="1" applyFont="1" applyFill="1" applyBorder="1" applyAlignment="1" applyProtection="1"/>
    <xf numFmtId="0" fontId="13" fillId="0" borderId="0" xfId="270" applyFont="1" applyProtection="1"/>
    <xf numFmtId="0" fontId="13" fillId="25" borderId="0" xfId="220" applyNumberFormat="1" applyFont="1" applyFill="1" applyBorder="1" applyAlignment="1" applyProtection="1">
      <alignment horizontal="center"/>
    </xf>
    <xf numFmtId="0" fontId="10" fillId="25" borderId="0" xfId="220" applyNumberFormat="1" applyFont="1" applyFill="1" applyBorder="1" applyAlignment="1" applyProtection="1">
      <alignment horizontal="left"/>
    </xf>
    <xf numFmtId="0" fontId="9" fillId="25" borderId="0" xfId="220" applyFont="1" applyFill="1" applyBorder="1" applyAlignment="1" applyProtection="1"/>
    <xf numFmtId="0" fontId="13" fillId="25" borderId="0" xfId="220" applyNumberFormat="1" applyFont="1" applyFill="1" applyBorder="1" applyAlignment="1" applyProtection="1">
      <alignment horizontal="left"/>
    </xf>
    <xf numFmtId="0" fontId="13" fillId="25" borderId="0" xfId="220" applyFont="1" applyFill="1" applyBorder="1" applyProtection="1"/>
    <xf numFmtId="173" fontId="13" fillId="25" borderId="0" xfId="89" applyNumberFormat="1" applyFont="1" applyFill="1" applyBorder="1" applyAlignment="1" applyProtection="1">
      <alignment horizontal="right"/>
    </xf>
    <xf numFmtId="0" fontId="0" fillId="25" borderId="0" xfId="0" applyFill="1" applyBorder="1" applyProtection="1"/>
    <xf numFmtId="164" fontId="13" fillId="25" borderId="0" xfId="291" applyNumberFormat="1" applyFont="1" applyFill="1" applyBorder="1" applyAlignment="1" applyProtection="1"/>
    <xf numFmtId="173" fontId="13" fillId="25" borderId="0" xfId="89" applyNumberFormat="1" applyFont="1" applyFill="1" applyBorder="1" applyAlignment="1" applyProtection="1">
      <alignment horizontal="left"/>
    </xf>
    <xf numFmtId="0" fontId="82" fillId="0" borderId="0" xfId="220" applyNumberFormat="1" applyFont="1" applyFill="1" applyBorder="1" applyAlignment="1" applyProtection="1">
      <alignment horizontal="left"/>
    </xf>
    <xf numFmtId="0" fontId="13" fillId="0" borderId="0" xfId="270" applyFont="1" applyFill="1" applyProtection="1"/>
    <xf numFmtId="9" fontId="10" fillId="0" borderId="0" xfId="270" quotePrefix="1" applyNumberFormat="1" applyFont="1" applyFill="1" applyAlignment="1" applyProtection="1">
      <alignment horizontal="center"/>
    </xf>
    <xf numFmtId="0" fontId="10" fillId="0" borderId="0" xfId="270" applyFont="1" applyFill="1" applyAlignment="1" applyProtection="1">
      <alignment horizontal="center"/>
    </xf>
    <xf numFmtId="0" fontId="70" fillId="0" borderId="0" xfId="270" applyFont="1" applyFill="1" applyAlignment="1" applyProtection="1">
      <alignment horizontal="center"/>
    </xf>
    <xf numFmtId="0" fontId="18" fillId="0" borderId="0" xfId="270" applyFont="1" applyFill="1" applyAlignment="1" applyProtection="1">
      <alignment horizontal="center"/>
    </xf>
    <xf numFmtId="0" fontId="87" fillId="0" borderId="0" xfId="270" applyFont="1" applyFill="1" applyAlignment="1" applyProtection="1">
      <alignment horizontal="center"/>
    </xf>
    <xf numFmtId="38" fontId="13" fillId="0" borderId="0" xfId="220" applyNumberFormat="1" applyFont="1" applyFill="1" applyBorder="1" applyAlignment="1" applyProtection="1">
      <alignment horizontal="right"/>
    </xf>
    <xf numFmtId="37" fontId="13" fillId="0" borderId="0" xfId="220" applyNumberFormat="1" applyFont="1" applyFill="1" applyBorder="1" applyAlignment="1" applyProtection="1">
      <alignment horizontal="right"/>
    </xf>
    <xf numFmtId="0" fontId="13" fillId="0" borderId="0" xfId="220" applyNumberFormat="1" applyFont="1" applyFill="1" applyBorder="1" applyAlignment="1" applyProtection="1">
      <alignment horizontal="right"/>
    </xf>
    <xf numFmtId="38" fontId="13" fillId="0" borderId="0" xfId="0" applyNumberFormat="1" applyFont="1" applyBorder="1" applyAlignment="1" applyProtection="1">
      <alignment horizontal="right"/>
    </xf>
    <xf numFmtId="38" fontId="9" fillId="0" borderId="0" xfId="220" applyNumberFormat="1" applyFont="1" applyFill="1" applyBorder="1" applyAlignment="1" applyProtection="1"/>
    <xf numFmtId="37" fontId="9" fillId="0" borderId="0" xfId="220" applyNumberFormat="1" applyFont="1" applyFill="1" applyBorder="1" applyAlignment="1" applyProtection="1"/>
    <xf numFmtId="0" fontId="10" fillId="0" borderId="0" xfId="220" applyFont="1" applyBorder="1" applyProtection="1"/>
    <xf numFmtId="173" fontId="9" fillId="0" borderId="14" xfId="86" applyNumberFormat="1" applyFont="1" applyFill="1" applyBorder="1" applyAlignment="1" applyProtection="1"/>
    <xf numFmtId="0" fontId="13" fillId="0" borderId="14" xfId="220" applyNumberFormat="1" applyFont="1" applyFill="1" applyBorder="1" applyAlignment="1" applyProtection="1">
      <alignment horizontal="left"/>
    </xf>
    <xf numFmtId="173" fontId="13" fillId="0" borderId="14" xfId="89" applyNumberFormat="1" applyFont="1" applyFill="1" applyBorder="1" applyAlignment="1" applyProtection="1">
      <alignment horizontal="right"/>
    </xf>
    <xf numFmtId="0" fontId="3" fillId="0" borderId="0" xfId="270" applyFill="1" applyAlignment="1" applyProtection="1">
      <alignment horizontal="left"/>
    </xf>
    <xf numFmtId="0" fontId="3" fillId="0" borderId="0" xfId="270" applyFill="1" applyProtection="1"/>
    <xf numFmtId="0" fontId="81" fillId="0" borderId="0" xfId="270" applyFont="1" applyFill="1" applyBorder="1" applyProtection="1"/>
    <xf numFmtId="173" fontId="3" fillId="0" borderId="0" xfId="86" applyNumberFormat="1" applyProtection="1"/>
    <xf numFmtId="173" fontId="3" fillId="0" borderId="0" xfId="86" applyNumberFormat="1" applyFill="1" applyProtection="1"/>
    <xf numFmtId="173" fontId="13" fillId="0" borderId="0" xfId="86" applyNumberFormat="1" applyFont="1" applyFill="1" applyProtection="1"/>
    <xf numFmtId="0" fontId="10" fillId="0" borderId="0" xfId="270" applyFont="1" applyFill="1" applyBorder="1" applyProtection="1"/>
    <xf numFmtId="38" fontId="13" fillId="0" borderId="17" xfId="0" applyNumberFormat="1" applyFont="1" applyFill="1" applyBorder="1" applyProtection="1"/>
    <xf numFmtId="37" fontId="13" fillId="0" borderId="17" xfId="0" applyNumberFormat="1" applyFont="1" applyFill="1" applyBorder="1" applyProtection="1"/>
    <xf numFmtId="0" fontId="152" fillId="0" borderId="0" xfId="220" applyFont="1" applyBorder="1" applyProtection="1"/>
    <xf numFmtId="38" fontId="13" fillId="0" borderId="0" xfId="0" applyNumberFormat="1" applyFont="1" applyFill="1" applyBorder="1" applyProtection="1"/>
    <xf numFmtId="0" fontId="33" fillId="0" borderId="0" xfId="270" applyFont="1" applyFill="1" applyAlignment="1" applyProtection="1">
      <alignment horizontal="left"/>
    </xf>
    <xf numFmtId="0" fontId="33" fillId="0" borderId="0" xfId="270" applyFont="1" applyFill="1" applyProtection="1"/>
    <xf numFmtId="0" fontId="97" fillId="0" borderId="0" xfId="270" applyFont="1" applyFill="1" applyAlignment="1" applyProtection="1">
      <alignment horizontal="center"/>
    </xf>
    <xf numFmtId="0" fontId="98" fillId="0" borderId="0" xfId="270" applyFont="1" applyFill="1" applyBorder="1" applyProtection="1"/>
    <xf numFmtId="37" fontId="9" fillId="30" borderId="0" xfId="0" applyNumberFormat="1" applyFont="1" applyFill="1" applyProtection="1">
      <protection locked="0"/>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Alignment="1" applyProtection="1">
      <alignment horizontal="center"/>
    </xf>
    <xf numFmtId="0" fontId="122" fillId="0" borderId="0" xfId="0" applyFont="1" applyAlignment="1" applyProtection="1">
      <alignment horizontal="center"/>
    </xf>
    <xf numFmtId="0" fontId="122" fillId="0" borderId="0" xfId="0" applyFont="1" applyAlignment="1" applyProtection="1">
      <alignment horizontal="left"/>
    </xf>
    <xf numFmtId="0" fontId="122"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10" fillId="0" borderId="0" xfId="277" applyFont="1" applyFill="1" applyAlignment="1" applyProtection="1"/>
    <xf numFmtId="0" fontId="121" fillId="0" borderId="0" xfId="0" applyFont="1" applyAlignment="1" applyProtection="1">
      <alignment horizontal="center"/>
    </xf>
    <xf numFmtId="174" fontId="13" fillId="0" borderId="0" xfId="86" applyNumberFormat="1" applyFont="1" applyFill="1" applyProtection="1"/>
    <xf numFmtId="174" fontId="0" fillId="0" borderId="0" xfId="0" applyNumberFormat="1" applyProtection="1"/>
    <xf numFmtId="43" fontId="9" fillId="30" borderId="0" xfId="0" applyNumberFormat="1" applyFont="1" applyFill="1" applyProtection="1">
      <protection locked="0"/>
    </xf>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82" applyFont="1" applyProtection="1"/>
    <xf numFmtId="0" fontId="4" fillId="0" borderId="0" xfId="282" applyFont="1" applyAlignment="1" applyProtection="1">
      <alignment horizontal="right"/>
    </xf>
    <xf numFmtId="0" fontId="11" fillId="0" borderId="0" xfId="282" applyFont="1" applyAlignment="1" applyProtection="1">
      <alignment horizontal="center"/>
    </xf>
    <xf numFmtId="0" fontId="27" fillId="0" borderId="0" xfId="0" applyFont="1" applyProtection="1"/>
    <xf numFmtId="0" fontId="6" fillId="0" borderId="0" xfId="282" applyFont="1" applyProtection="1"/>
    <xf numFmtId="0" fontId="83" fillId="0" borderId="0" xfId="282" applyFont="1" applyProtection="1"/>
    <xf numFmtId="0" fontId="27" fillId="0" borderId="0" xfId="0" applyFont="1" applyAlignment="1" applyProtection="1">
      <alignment horizontal="center"/>
    </xf>
    <xf numFmtId="0" fontId="11" fillId="0" borderId="0" xfId="282" applyFont="1" applyBorder="1" applyAlignment="1" applyProtection="1">
      <alignment horizontal="center"/>
    </xf>
    <xf numFmtId="0" fontId="4" fillId="0" borderId="0" xfId="0" applyFont="1" applyAlignment="1" applyProtection="1">
      <alignment horizontal="right"/>
    </xf>
    <xf numFmtId="0" fontId="7" fillId="0" borderId="0" xfId="282" applyFont="1" applyFill="1" applyProtection="1"/>
    <xf numFmtId="0" fontId="27" fillId="0" borderId="0" xfId="282" applyFont="1" applyAlignment="1" applyProtection="1">
      <alignment horizontal="center"/>
    </xf>
    <xf numFmtId="0" fontId="10" fillId="0" borderId="0" xfId="282" applyFont="1" applyFill="1" applyAlignment="1" applyProtection="1">
      <alignment horizontal="center"/>
    </xf>
    <xf numFmtId="0" fontId="10" fillId="0" borderId="0" xfId="282" applyFont="1" applyFill="1" applyProtection="1"/>
    <xf numFmtId="0" fontId="102" fillId="0" borderId="0" xfId="0" applyFont="1" applyProtection="1"/>
    <xf numFmtId="0" fontId="102" fillId="0" borderId="0" xfId="282" applyFont="1" applyProtection="1"/>
    <xf numFmtId="0" fontId="13" fillId="0" borderId="0" xfId="282" applyFont="1" applyProtection="1"/>
    <xf numFmtId="173" fontId="13" fillId="0" borderId="0" xfId="282" applyNumberFormat="1" applyFont="1" applyFill="1" applyProtection="1"/>
    <xf numFmtId="0" fontId="13" fillId="0" borderId="0" xfId="0" applyFont="1" applyAlignment="1" applyProtection="1">
      <alignment horizontal="center"/>
    </xf>
    <xf numFmtId="172" fontId="13" fillId="0" borderId="0" xfId="282" applyNumberFormat="1" applyFont="1" applyFill="1" applyAlignment="1" applyProtection="1">
      <alignment horizontal="center"/>
    </xf>
    <xf numFmtId="0" fontId="13" fillId="0" borderId="0" xfId="282" applyFont="1" applyFill="1" applyProtection="1"/>
    <xf numFmtId="0" fontId="10" fillId="0" borderId="0" xfId="282" applyFont="1" applyProtection="1"/>
    <xf numFmtId="43" fontId="13" fillId="0" borderId="0" xfId="118" applyFont="1" applyFill="1" applyProtection="1"/>
    <xf numFmtId="0" fontId="95" fillId="0" borderId="0" xfId="282" applyFont="1" applyProtection="1"/>
    <xf numFmtId="184" fontId="13" fillId="0" borderId="0" xfId="0" applyNumberFormat="1" applyFont="1" applyProtection="1"/>
    <xf numFmtId="173" fontId="13" fillId="0" borderId="0" xfId="282" applyNumberFormat="1" applyFont="1" applyProtection="1"/>
    <xf numFmtId="173" fontId="13" fillId="0" borderId="13" xfId="0" applyNumberFormat="1" applyFont="1" applyBorder="1" applyProtection="1"/>
    <xf numFmtId="173" fontId="13" fillId="0" borderId="0" xfId="282" applyNumberFormat="1" applyFont="1" applyBorder="1" applyProtection="1"/>
    <xf numFmtId="0" fontId="95" fillId="0" borderId="0" xfId="282" applyFont="1" applyFill="1" applyProtection="1"/>
    <xf numFmtId="173" fontId="13" fillId="0" borderId="13" xfId="282" applyNumberFormat="1" applyFont="1" applyBorder="1" applyProtection="1"/>
    <xf numFmtId="0" fontId="27" fillId="0" borderId="0" xfId="282" applyFont="1" applyProtection="1"/>
    <xf numFmtId="43" fontId="6" fillId="0" borderId="0" xfId="118" applyFont="1" applyFill="1" applyProtection="1"/>
    <xf numFmtId="173" fontId="6" fillId="0" borderId="0" xfId="282" applyNumberFormat="1" applyFont="1" applyProtection="1"/>
    <xf numFmtId="173" fontId="6" fillId="0" borderId="0" xfId="282" applyNumberFormat="1" applyFont="1" applyBorder="1" applyProtection="1"/>
    <xf numFmtId="0" fontId="10" fillId="0" borderId="0" xfId="0" applyFont="1" applyFill="1" applyBorder="1" applyAlignment="1" applyProtection="1">
      <alignment horizontal="center"/>
    </xf>
    <xf numFmtId="0" fontId="102" fillId="0" borderId="0" xfId="0" applyFont="1" applyFill="1" applyProtection="1"/>
    <xf numFmtId="0" fontId="7" fillId="0" borderId="0" xfId="0" applyFont="1" applyFill="1" applyBorder="1" applyAlignment="1" applyProtection="1">
      <alignment horizontal="center"/>
    </xf>
    <xf numFmtId="0" fontId="4" fillId="0" borderId="0" xfId="0" applyFont="1" applyFill="1" applyProtection="1"/>
    <xf numFmtId="173" fontId="9" fillId="30" borderId="0" xfId="118" applyNumberFormat="1" applyFont="1" applyFill="1" applyProtection="1">
      <protection locked="0"/>
    </xf>
    <xf numFmtId="41" fontId="20" fillId="30" borderId="0" xfId="270" applyNumberFormat="1" applyFont="1" applyFill="1" applyBorder="1" applyProtection="1">
      <protection locked="0"/>
    </xf>
    <xf numFmtId="3" fontId="20" fillId="30" borderId="0" xfId="0" applyNumberFormat="1" applyFont="1" applyFill="1" applyAlignment="1" applyProtection="1">
      <protection locked="0"/>
    </xf>
    <xf numFmtId="41" fontId="28" fillId="30" borderId="0" xfId="270" applyNumberFormat="1" applyFont="1" applyFill="1" applyBorder="1" applyProtection="1">
      <protection locked="0"/>
    </xf>
    <xf numFmtId="0" fontId="5" fillId="0" borderId="0" xfId="0" applyFont="1" applyProtection="1"/>
    <xf numFmtId="0" fontId="19" fillId="0" borderId="0" xfId="0" applyFont="1" applyProtection="1"/>
    <xf numFmtId="0" fontId="19" fillId="0" borderId="0" xfId="0" applyFont="1" applyAlignment="1" applyProtection="1">
      <alignment horizontal="right"/>
    </xf>
    <xf numFmtId="0" fontId="6" fillId="0" borderId="0" xfId="0" applyFont="1" applyAlignment="1" applyProtection="1">
      <alignment horizontal="center" wrapText="1"/>
    </xf>
    <xf numFmtId="0" fontId="6" fillId="0" borderId="0" xfId="0" applyFont="1" applyFill="1" applyAlignment="1" applyProtection="1"/>
    <xf numFmtId="37" fontId="6" fillId="0" borderId="0" xfId="0" applyNumberFormat="1" applyFont="1" applyFill="1" applyAlignment="1" applyProtection="1"/>
    <xf numFmtId="37" fontId="6" fillId="0" borderId="0" xfId="0" applyNumberFormat="1" applyFont="1" applyFill="1" applyAlignment="1" applyProtection="1">
      <alignment horizontal="center"/>
    </xf>
    <xf numFmtId="0" fontId="16" fillId="0" borderId="0" xfId="0" applyFont="1" applyFill="1" applyProtection="1"/>
    <xf numFmtId="0" fontId="0" fillId="0" borderId="0" xfId="0" applyFont="1" applyFill="1" applyAlignment="1" applyProtection="1">
      <alignment horizontal="center"/>
    </xf>
    <xf numFmtId="10" fontId="6" fillId="0" borderId="0" xfId="0" applyNumberFormat="1" applyFont="1" applyFill="1" applyBorder="1" applyAlignment="1" applyProtection="1"/>
    <xf numFmtId="175" fontId="6" fillId="0" borderId="0" xfId="0" applyNumberFormat="1" applyFont="1" applyFill="1" applyProtection="1"/>
    <xf numFmtId="10" fontId="6" fillId="0" borderId="14" xfId="0" applyNumberFormat="1" applyFont="1" applyFill="1" applyBorder="1" applyAlignment="1" applyProtection="1"/>
    <xf numFmtId="10" fontId="20" fillId="30" borderId="0" xfId="0" applyNumberFormat="1" applyFont="1" applyFill="1" applyBorder="1" applyAlignment="1" applyProtection="1">
      <protection locked="0"/>
    </xf>
    <xf numFmtId="10" fontId="20" fillId="30" borderId="11" xfId="0" applyNumberFormat="1" applyFont="1" applyFill="1" applyBorder="1" applyAlignment="1" applyProtection="1">
      <protection locked="0"/>
    </xf>
    <xf numFmtId="0" fontId="6" fillId="30" borderId="0" xfId="0" applyFont="1" applyFill="1" applyAlignment="1" applyProtection="1">
      <protection locked="0"/>
    </xf>
    <xf numFmtId="0" fontId="13" fillId="0" borderId="0" xfId="278" applyFont="1" applyProtection="1"/>
    <xf numFmtId="0" fontId="6" fillId="0" borderId="0" xfId="278" applyFont="1" applyProtection="1"/>
    <xf numFmtId="0" fontId="19" fillId="0" borderId="0" xfId="278" applyNumberFormat="1" applyFont="1" applyAlignment="1" applyProtection="1">
      <alignment horizontal="center"/>
    </xf>
    <xf numFmtId="0" fontId="19" fillId="0" borderId="0" xfId="278" applyNumberFormat="1" applyFont="1" applyProtection="1"/>
    <xf numFmtId="0" fontId="7" fillId="0" borderId="0" xfId="270" applyFont="1" applyFill="1" applyAlignment="1" applyProtection="1">
      <alignment horizontal="center"/>
    </xf>
    <xf numFmtId="0" fontId="13" fillId="0" borderId="0" xfId="278" applyNumberFormat="1" applyFont="1" applyProtection="1"/>
    <xf numFmtId="0" fontId="5" fillId="0" borderId="0" xfId="278" applyNumberFormat="1" applyFont="1" applyAlignment="1" applyProtection="1">
      <alignment horizontal="center"/>
    </xf>
    <xf numFmtId="0" fontId="5" fillId="0" borderId="0" xfId="278" applyNumberFormat="1" applyFont="1" applyProtection="1"/>
    <xf numFmtId="184" fontId="5" fillId="0" borderId="0" xfId="278" applyNumberFormat="1" applyFont="1" applyAlignment="1" applyProtection="1">
      <alignment horizontal="center"/>
    </xf>
    <xf numFmtId="0" fontId="75" fillId="0" borderId="0" xfId="278" applyFont="1" applyProtection="1"/>
    <xf numFmtId="0" fontId="10" fillId="0" borderId="0" xfId="278" applyFont="1" applyProtection="1"/>
    <xf numFmtId="0" fontId="5" fillId="0" borderId="11" xfId="278" applyNumberFormat="1" applyFont="1" applyBorder="1" applyAlignment="1" applyProtection="1">
      <alignment horizontal="center"/>
    </xf>
    <xf numFmtId="184" fontId="5" fillId="0" borderId="11" xfId="278" applyNumberFormat="1" applyFont="1" applyBorder="1" applyAlignment="1" applyProtection="1">
      <alignment horizontal="center"/>
    </xf>
    <xf numFmtId="0" fontId="75" fillId="0" borderId="11" xfId="278" applyFont="1" applyBorder="1" applyAlignment="1" applyProtection="1">
      <alignment horizontal="center"/>
    </xf>
    <xf numFmtId="0" fontId="10" fillId="0" borderId="0" xfId="278" applyFont="1" applyAlignment="1" applyProtection="1">
      <alignment horizontal="center"/>
    </xf>
    <xf numFmtId="0" fontId="19" fillId="0" borderId="0" xfId="278" applyNumberFormat="1" applyFont="1" applyBorder="1" applyAlignment="1" applyProtection="1">
      <alignment horizontal="center"/>
    </xf>
    <xf numFmtId="184" fontId="19" fillId="0" borderId="0" xfId="278" applyNumberFormat="1" applyFont="1" applyAlignment="1" applyProtection="1">
      <alignment horizontal="center"/>
    </xf>
    <xf numFmtId="0" fontId="72" fillId="0" borderId="0" xfId="278" applyFont="1" applyProtection="1"/>
    <xf numFmtId="184" fontId="73" fillId="0" borderId="0" xfId="278" applyNumberFormat="1" applyFont="1" applyProtection="1"/>
    <xf numFmtId="0" fontId="19" fillId="0" borderId="0" xfId="278" applyFont="1" applyProtection="1"/>
    <xf numFmtId="184" fontId="19" fillId="0" borderId="0" xfId="278" applyNumberFormat="1" applyFont="1" applyProtection="1"/>
    <xf numFmtId="0" fontId="74" fillId="0" borderId="0" xfId="278" applyFont="1" applyProtection="1"/>
    <xf numFmtId="173" fontId="72" fillId="0" borderId="0" xfId="278" applyNumberFormat="1" applyFont="1" applyBorder="1" applyProtection="1"/>
    <xf numFmtId="173" fontId="72" fillId="0" borderId="0" xfId="278" applyNumberFormat="1" applyFont="1" applyProtection="1"/>
    <xf numFmtId="173" fontId="72" fillId="0" borderId="0" xfId="278" applyNumberFormat="1" applyFont="1" applyFill="1" applyBorder="1" applyProtection="1"/>
    <xf numFmtId="0" fontId="72" fillId="0" borderId="0" xfId="278" applyFont="1" applyFill="1" applyBorder="1" applyProtection="1"/>
    <xf numFmtId="173" fontId="90" fillId="0" borderId="0" xfId="278" applyNumberFormat="1" applyFont="1" applyFill="1" applyBorder="1" applyProtection="1"/>
    <xf numFmtId="173" fontId="6" fillId="0" borderId="0" xfId="278" applyNumberFormat="1" applyFont="1" applyProtection="1"/>
    <xf numFmtId="173" fontId="77" fillId="0" borderId="0" xfId="278" applyNumberFormat="1" applyFont="1" applyProtection="1"/>
    <xf numFmtId="184" fontId="6" fillId="0" borderId="0" xfId="278" applyNumberFormat="1" applyFont="1" applyProtection="1"/>
    <xf numFmtId="173" fontId="77" fillId="0" borderId="0" xfId="86" applyNumberFormat="1" applyFont="1" applyProtection="1"/>
    <xf numFmtId="0" fontId="117" fillId="0" borderId="0" xfId="277" applyNumberFormat="1" applyFont="1" applyBorder="1" applyAlignment="1" applyProtection="1"/>
    <xf numFmtId="0" fontId="100" fillId="0" borderId="0" xfId="278" applyFont="1" applyFill="1" applyBorder="1" applyProtection="1"/>
    <xf numFmtId="0" fontId="100" fillId="0" borderId="0" xfId="278" applyFont="1" applyProtection="1"/>
    <xf numFmtId="173" fontId="118" fillId="0" borderId="0" xfId="278" applyNumberFormat="1" applyFont="1" applyProtection="1"/>
    <xf numFmtId="184" fontId="119" fillId="0" borderId="0" xfId="278" applyNumberFormat="1" applyFont="1" applyProtection="1"/>
    <xf numFmtId="173" fontId="118" fillId="0" borderId="0" xfId="86" applyNumberFormat="1" applyFont="1" applyProtection="1"/>
    <xf numFmtId="173" fontId="100" fillId="0" borderId="0" xfId="278" applyNumberFormat="1" applyFont="1" applyProtection="1"/>
    <xf numFmtId="0" fontId="72" fillId="0" borderId="0" xfId="278" applyFont="1" applyFill="1" applyProtection="1"/>
    <xf numFmtId="0" fontId="76" fillId="0" borderId="0" xfId="275" applyFont="1" applyFill="1" applyAlignment="1" applyProtection="1">
      <alignment horizontal="center"/>
    </xf>
    <xf numFmtId="0" fontId="76" fillId="0" borderId="0" xfId="275" applyFont="1" applyFill="1" applyAlignment="1" applyProtection="1">
      <alignment horizontal="left" indent="2"/>
    </xf>
    <xf numFmtId="39" fontId="76" fillId="0" borderId="0" xfId="275" applyNumberFormat="1" applyFont="1" applyFill="1" applyProtection="1"/>
    <xf numFmtId="173" fontId="72" fillId="0" borderId="0" xfId="278" applyNumberFormat="1" applyFont="1" applyFill="1" applyProtection="1"/>
    <xf numFmtId="43" fontId="72" fillId="0" borderId="0" xfId="86" applyFont="1" applyProtection="1"/>
    <xf numFmtId="43" fontId="77" fillId="0" borderId="0" xfId="86" applyFont="1" applyProtection="1"/>
    <xf numFmtId="173" fontId="6" fillId="0" borderId="0" xfId="86" applyNumberFormat="1" applyFont="1" applyProtection="1"/>
    <xf numFmtId="0" fontId="19" fillId="0" borderId="0" xfId="275" applyFont="1" applyFill="1" applyAlignment="1" applyProtection="1">
      <alignment horizontal="center"/>
    </xf>
    <xf numFmtId="173" fontId="72" fillId="0" borderId="14" xfId="86" applyNumberFormat="1" applyFont="1" applyBorder="1" applyProtection="1"/>
    <xf numFmtId="0" fontId="75" fillId="0" borderId="0" xfId="278" applyFont="1" applyAlignment="1" applyProtection="1">
      <alignment horizontal="center" wrapText="1"/>
    </xf>
    <xf numFmtId="0" fontId="80" fillId="0" borderId="0" xfId="278" applyFont="1" applyAlignment="1" applyProtection="1">
      <alignment horizontal="center"/>
    </xf>
    <xf numFmtId="0" fontId="19" fillId="0" borderId="0" xfId="278" applyNumberFormat="1" applyFont="1" applyFill="1" applyAlignment="1" applyProtection="1">
      <alignment horizontal="center"/>
    </xf>
    <xf numFmtId="0" fontId="13" fillId="0" borderId="0" xfId="278" applyNumberFormat="1" applyFont="1" applyFill="1" applyProtection="1"/>
    <xf numFmtId="0" fontId="100" fillId="0" borderId="0" xfId="278" applyFont="1" applyFill="1" applyProtection="1"/>
    <xf numFmtId="41" fontId="100" fillId="0" borderId="0" xfId="278" applyNumberFormat="1" applyFont="1" applyFill="1" applyProtection="1"/>
    <xf numFmtId="41" fontId="100" fillId="0" borderId="0" xfId="278" applyNumberFormat="1" applyFont="1" applyFill="1" applyBorder="1" applyProtection="1"/>
    <xf numFmtId="41" fontId="72" fillId="0" borderId="0" xfId="278" applyNumberFormat="1" applyFont="1" applyFill="1" applyProtection="1"/>
    <xf numFmtId="10" fontId="72" fillId="0" borderId="0" xfId="289" applyNumberFormat="1" applyFont="1" applyFill="1" applyProtection="1"/>
    <xf numFmtId="41" fontId="72" fillId="0" borderId="0" xfId="278" applyNumberFormat="1" applyFont="1" applyFill="1" applyBorder="1" applyProtection="1"/>
    <xf numFmtId="164" fontId="72" fillId="0" borderId="0" xfId="289" applyNumberFormat="1" applyFont="1" applyFill="1" applyProtection="1"/>
    <xf numFmtId="186" fontId="13" fillId="0" borderId="0" xfId="289" applyNumberFormat="1" applyFont="1" applyFill="1" applyProtection="1"/>
    <xf numFmtId="41" fontId="85" fillId="28" borderId="0" xfId="278" applyNumberFormat="1" applyFont="1" applyFill="1" applyProtection="1"/>
    <xf numFmtId="41" fontId="85" fillId="28" borderId="0" xfId="278" applyNumberFormat="1" applyFont="1" applyFill="1" applyBorder="1" applyProtection="1"/>
    <xf numFmtId="10" fontId="72" fillId="0" borderId="11" xfId="289" applyNumberFormat="1" applyFont="1" applyFill="1" applyBorder="1" applyProtection="1"/>
    <xf numFmtId="173" fontId="72" fillId="0" borderId="0" xfId="86" applyNumberFormat="1" applyFont="1" applyFill="1" applyProtection="1"/>
    <xf numFmtId="10" fontId="72" fillId="0" borderId="0" xfId="289" applyNumberFormat="1" applyFont="1" applyFill="1" applyBorder="1" applyProtection="1"/>
    <xf numFmtId="173" fontId="72" fillId="0" borderId="0" xfId="86" applyNumberFormat="1" applyFont="1" applyFill="1" applyBorder="1" applyProtection="1"/>
    <xf numFmtId="0" fontId="13" fillId="0" borderId="0" xfId="278" applyNumberFormat="1" applyFont="1" applyAlignment="1" applyProtection="1">
      <alignment horizontal="center"/>
    </xf>
    <xf numFmtId="184" fontId="13" fillId="0" borderId="0" xfId="278" applyNumberFormat="1" applyFont="1" applyProtection="1"/>
    <xf numFmtId="173" fontId="13" fillId="0" borderId="0" xfId="278" applyNumberFormat="1" applyFont="1" applyProtection="1"/>
    <xf numFmtId="173" fontId="72" fillId="0" borderId="18" xfId="86" applyNumberFormat="1" applyFont="1" applyFill="1" applyBorder="1" applyProtection="1"/>
    <xf numFmtId="0" fontId="75" fillId="30" borderId="0" xfId="278" applyFont="1" applyFill="1" applyProtection="1">
      <protection locked="0"/>
    </xf>
    <xf numFmtId="0" fontId="100" fillId="30" borderId="0" xfId="278" applyFont="1" applyFill="1" applyProtection="1">
      <protection locked="0"/>
    </xf>
    <xf numFmtId="0" fontId="72" fillId="30" borderId="0" xfId="278" applyFont="1" applyFill="1" applyProtection="1">
      <protection locked="0"/>
    </xf>
    <xf numFmtId="10" fontId="79" fillId="30" borderId="11" xfId="289" applyNumberFormat="1" applyFont="1" applyFill="1" applyBorder="1" applyProtection="1">
      <protection locked="0"/>
    </xf>
    <xf numFmtId="173" fontId="79" fillId="30" borderId="0" xfId="278" applyNumberFormat="1" applyFont="1" applyFill="1" applyBorder="1" applyProtection="1">
      <protection locked="0"/>
    </xf>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0" fillId="0" borderId="0" xfId="0" applyAlignment="1" applyProtection="1">
      <alignment wrapText="1"/>
    </xf>
    <xf numFmtId="0" fontId="7" fillId="0" borderId="0" xfId="0" applyFont="1" applyAlignment="1" applyProtection="1">
      <alignment horizontal="left"/>
    </xf>
    <xf numFmtId="0" fontId="13" fillId="0" borderId="0" xfId="277" applyNumberFormat="1" applyFont="1" applyBorder="1" applyAlignment="1" applyProtection="1"/>
    <xf numFmtId="3" fontId="13" fillId="0" borderId="0" xfId="277" applyNumberFormat="1" applyFont="1" applyAlignment="1" applyProtection="1"/>
    <xf numFmtId="10" fontId="3" fillId="0" borderId="0" xfId="289" applyNumberFormat="1" applyAlignment="1" applyProtection="1">
      <alignment horizontal="right"/>
    </xf>
    <xf numFmtId="172" fontId="13" fillId="0" borderId="0" xfId="277" applyFont="1" applyAlignment="1" applyProtection="1"/>
    <xf numFmtId="172" fontId="13" fillId="0" borderId="0" xfId="277" applyFont="1" applyBorder="1" applyAlignment="1" applyProtection="1"/>
    <xf numFmtId="3" fontId="13" fillId="0" borderId="0" xfId="277" applyNumberFormat="1" applyFont="1" applyFill="1" applyAlignment="1" applyProtection="1"/>
    <xf numFmtId="10" fontId="13" fillId="0" borderId="0" xfId="289" applyNumberFormat="1" applyFont="1" applyFill="1" applyAlignment="1" applyProtection="1">
      <alignment horizontal="right"/>
    </xf>
    <xf numFmtId="3" fontId="10" fillId="0" borderId="0" xfId="277" applyNumberFormat="1" applyFont="1" applyAlignment="1" applyProtection="1"/>
    <xf numFmtId="10" fontId="13" fillId="0" borderId="0" xfId="277" applyNumberFormat="1" applyFont="1" applyFill="1" applyAlignment="1" applyProtection="1">
      <alignment horizontal="right"/>
    </xf>
    <xf numFmtId="3" fontId="14" fillId="0" borderId="0" xfId="277" applyNumberFormat="1" applyFont="1" applyAlignment="1" applyProtection="1">
      <alignment horizontal="center"/>
    </xf>
    <xf numFmtId="10" fontId="14" fillId="0" borderId="0" xfId="277" applyNumberFormat="1" applyFont="1" applyFill="1" applyAlignment="1" applyProtection="1">
      <alignment horizontal="center"/>
    </xf>
    <xf numFmtId="0" fontId="13"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89" applyNumberFormat="1" applyFont="1" applyAlignment="1" applyProtection="1"/>
    <xf numFmtId="166" fontId="13" fillId="0" borderId="0" xfId="277" applyNumberFormat="1" applyFont="1" applyAlignment="1" applyProtection="1">
      <alignment horizontal="center"/>
    </xf>
    <xf numFmtId="166" fontId="13" fillId="0" borderId="0" xfId="277" applyNumberFormat="1" applyFont="1" applyBorder="1" applyAlignment="1" applyProtection="1">
      <alignment horizontal="center"/>
    </xf>
    <xf numFmtId="41" fontId="13" fillId="0" borderId="0" xfId="277" applyNumberFormat="1" applyFont="1" applyAlignment="1" applyProtection="1"/>
    <xf numFmtId="41" fontId="13" fillId="0" borderId="0" xfId="277" applyNumberFormat="1" applyFont="1" applyAlignment="1" applyProtection="1">
      <alignment horizontal="center"/>
    </xf>
    <xf numFmtId="41" fontId="13" fillId="0" borderId="0" xfId="277" applyNumberFormat="1" applyFont="1" applyBorder="1" applyAlignment="1" applyProtection="1">
      <alignment horizontal="center"/>
    </xf>
    <xf numFmtId="0" fontId="13" fillId="0" borderId="0" xfId="277" applyNumberFormat="1" applyFont="1" applyBorder="1" applyAlignment="1" applyProtection="1">
      <alignment horizontal="right"/>
    </xf>
    <xf numFmtId="164" fontId="14" fillId="0" borderId="0" xfId="289" applyNumberFormat="1" applyFont="1" applyAlignment="1" applyProtection="1"/>
    <xf numFmtId="3" fontId="13" fillId="0" borderId="0" xfId="277" applyNumberFormat="1" applyFont="1" applyAlignment="1" applyProtection="1">
      <alignment horizontal="right"/>
    </xf>
    <xf numFmtId="172" fontId="3" fillId="0" borderId="19" xfId="277" applyFont="1" applyBorder="1" applyAlignment="1" applyProtection="1"/>
    <xf numFmtId="0" fontId="3" fillId="0" borderId="0" xfId="277" applyNumberFormat="1" applyFont="1" applyBorder="1" applyAlignment="1" applyProtection="1">
      <alignment horizontal="center"/>
    </xf>
    <xf numFmtId="172" fontId="3" fillId="0" borderId="0" xfId="277" applyFont="1" applyBorder="1" applyAlignment="1" applyProtection="1"/>
    <xf numFmtId="3" fontId="3" fillId="0" borderId="20" xfId="277" applyNumberFormat="1" applyFont="1" applyBorder="1" applyAlignment="1" applyProtection="1"/>
    <xf numFmtId="10" fontId="13" fillId="0" borderId="0" xfId="277" applyNumberFormat="1" applyFont="1" applyFill="1" applyAlignment="1" applyProtection="1">
      <alignment horizontal="left"/>
    </xf>
    <xf numFmtId="41" fontId="13" fillId="0" borderId="0" xfId="277" applyNumberFormat="1" applyFont="1" applyBorder="1" applyAlignment="1" applyProtection="1"/>
    <xf numFmtId="0" fontId="3" fillId="0" borderId="19" xfId="0" applyFont="1" applyBorder="1" applyProtection="1"/>
    <xf numFmtId="0" fontId="3" fillId="0" borderId="0" xfId="0" applyFont="1" applyBorder="1" applyProtection="1"/>
    <xf numFmtId="0" fontId="3" fillId="0" borderId="20" xfId="0" applyFont="1" applyBorder="1" applyProtection="1"/>
    <xf numFmtId="41" fontId="13" fillId="0" borderId="0" xfId="277" applyNumberFormat="1" applyFont="1" applyFill="1" applyAlignment="1" applyProtection="1"/>
    <xf numFmtId="166" fontId="3" fillId="0" borderId="21" xfId="277" applyNumberFormat="1" applyFont="1" applyBorder="1" applyAlignment="1" applyProtection="1">
      <alignment horizontal="center"/>
    </xf>
    <xf numFmtId="0" fontId="3" fillId="0" borderId="6" xfId="277" applyNumberFormat="1" applyFont="1" applyBorder="1" applyAlignment="1" applyProtection="1">
      <alignment horizontal="center"/>
    </xf>
    <xf numFmtId="174" fontId="3" fillId="0" borderId="22" xfId="0" applyNumberFormat="1" applyFont="1" applyBorder="1" applyProtection="1"/>
    <xf numFmtId="41" fontId="3" fillId="0" borderId="0" xfId="277" applyNumberFormat="1" applyFont="1" applyBorder="1" applyAlignment="1" applyProtection="1"/>
    <xf numFmtId="173" fontId="3" fillId="0" borderId="0" xfId="277" applyNumberFormat="1" applyFont="1" applyBorder="1" applyAlignment="1" applyProtection="1">
      <alignment horizontal="center"/>
    </xf>
    <xf numFmtId="41" fontId="13" fillId="0" borderId="0" xfId="277" applyNumberFormat="1" applyFont="1" applyFill="1" applyAlignment="1" applyProtection="1">
      <alignment horizontal="left"/>
    </xf>
    <xf numFmtId="41" fontId="3" fillId="0" borderId="0" xfId="277" applyNumberFormat="1" applyFont="1" applyFill="1" applyBorder="1" applyAlignment="1" applyProtection="1">
      <alignment horizontal="right"/>
    </xf>
    <xf numFmtId="167" fontId="13" fillId="0" borderId="0" xfId="277" applyNumberFormat="1" applyFont="1" applyAlignment="1" applyProtection="1"/>
    <xf numFmtId="164" fontId="13" fillId="0" borderId="0" xfId="277" applyNumberFormat="1" applyFont="1" applyFill="1" applyBorder="1" applyAlignment="1" applyProtection="1">
      <alignment horizontal="left"/>
    </xf>
    <xf numFmtId="164" fontId="13" fillId="0" borderId="0" xfId="277" applyNumberFormat="1" applyFont="1" applyBorder="1" applyAlignment="1" applyProtection="1">
      <alignment horizontal="left"/>
    </xf>
    <xf numFmtId="3" fontId="13" fillId="0" borderId="0" xfId="277" applyNumberFormat="1" applyFont="1" applyAlignment="1" applyProtection="1">
      <alignment vertical="center" wrapText="1"/>
    </xf>
    <xf numFmtId="41" fontId="13" fillId="0" borderId="0" xfId="277" applyNumberFormat="1" applyFont="1" applyBorder="1" applyAlignment="1" applyProtection="1">
      <alignment vertical="center"/>
    </xf>
    <xf numFmtId="41" fontId="13" fillId="0" borderId="0" xfId="277" applyNumberFormat="1" applyFont="1" applyBorder="1" applyAlignment="1" applyProtection="1">
      <alignment horizontal="center" vertical="center"/>
    </xf>
    <xf numFmtId="41" fontId="13" fillId="0" borderId="0" xfId="277"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77" applyNumberFormat="1" applyFont="1" applyFill="1" applyBorder="1" applyAlignment="1" applyProtection="1"/>
    <xf numFmtId="41" fontId="13" fillId="0" borderId="6" xfId="277" applyNumberFormat="1" applyFont="1" applyFill="1" applyBorder="1" applyAlignment="1" applyProtection="1"/>
    <xf numFmtId="0" fontId="13" fillId="0" borderId="0" xfId="277" applyNumberFormat="1" applyFont="1" applyFill="1" applyBorder="1" applyAlignment="1" applyProtection="1"/>
    <xf numFmtId="3" fontId="13" fillId="0" borderId="0" xfId="277" applyNumberFormat="1" applyFont="1" applyFill="1" applyBorder="1" applyAlignment="1" applyProtection="1"/>
    <xf numFmtId="0" fontId="13" fillId="32" borderId="0" xfId="277" applyNumberFormat="1" applyFont="1" applyFill="1" applyBorder="1" applyAlignment="1" applyProtection="1"/>
    <xf numFmtId="41" fontId="13" fillId="0" borderId="0" xfId="277" applyNumberFormat="1" applyFont="1" applyFill="1" applyBorder="1" applyAlignment="1" applyProtection="1">
      <alignment horizontal="center"/>
    </xf>
    <xf numFmtId="0" fontId="13" fillId="0" borderId="0" xfId="277" applyNumberFormat="1" applyFont="1" applyFill="1" applyBorder="1" applyProtection="1"/>
    <xf numFmtId="41" fontId="14" fillId="0" borderId="0" xfId="277" applyNumberFormat="1" applyFont="1" applyFill="1" applyBorder="1" applyAlignment="1" applyProtection="1"/>
    <xf numFmtId="3" fontId="13" fillId="0" borderId="0" xfId="277" applyNumberFormat="1" applyFont="1" applyFill="1" applyBorder="1" applyAlignment="1" applyProtection="1">
      <alignment horizontal="center"/>
    </xf>
    <xf numFmtId="0" fontId="13" fillId="0" borderId="0" xfId="277" applyNumberFormat="1" applyFont="1" applyFill="1" applyBorder="1" applyAlignment="1" applyProtection="1">
      <alignment horizontal="center"/>
    </xf>
    <xf numFmtId="10" fontId="13" fillId="0" borderId="0" xfId="277" applyNumberFormat="1" applyFont="1" applyFill="1" applyBorder="1" applyAlignment="1" applyProtection="1"/>
    <xf numFmtId="169" fontId="13" fillId="0" borderId="0" xfId="277" applyNumberFormat="1" applyFont="1" applyFill="1" applyBorder="1" applyAlignment="1" applyProtection="1"/>
    <xf numFmtId="172" fontId="13" fillId="0" borderId="0" xfId="277" applyFont="1" applyFill="1" applyBorder="1" applyAlignment="1" applyProtection="1"/>
    <xf numFmtId="169" fontId="10" fillId="0" borderId="0" xfId="277" applyNumberFormat="1" applyFont="1" applyFill="1" applyBorder="1" applyAlignment="1" applyProtection="1"/>
    <xf numFmtId="0" fontId="13" fillId="0" borderId="0" xfId="0" applyFont="1" applyFill="1" applyBorder="1" applyAlignment="1" applyProtection="1">
      <alignment horizontal="center"/>
    </xf>
    <xf numFmtId="0" fontId="13" fillId="0" borderId="0" xfId="0" applyFont="1" applyFill="1" applyBorder="1" applyProtection="1"/>
    <xf numFmtId="41" fontId="13" fillId="0" borderId="0" xfId="0" applyNumberFormat="1" applyFont="1" applyFill="1" applyBorder="1" applyProtection="1"/>
    <xf numFmtId="41" fontId="14" fillId="0" borderId="0" xfId="0" applyNumberFormat="1" applyFont="1" applyProtection="1"/>
    <xf numFmtId="4" fontId="13" fillId="0" borderId="0" xfId="277" applyNumberFormat="1" applyFont="1" applyFill="1" applyBorder="1" applyAlignment="1" applyProtection="1"/>
    <xf numFmtId="10" fontId="14" fillId="0" borderId="0" xfId="0" applyNumberFormat="1" applyFont="1" applyProtection="1"/>
    <xf numFmtId="173" fontId="13" fillId="0" borderId="0" xfId="86" applyNumberFormat="1" applyFont="1" applyBorder="1" applyProtection="1"/>
    <xf numFmtId="43" fontId="13" fillId="0" borderId="0" xfId="86" applyFont="1" applyProtection="1"/>
    <xf numFmtId="43" fontId="13" fillId="0" borderId="0" xfId="86" applyFont="1" applyFill="1" applyProtection="1"/>
    <xf numFmtId="173" fontId="13" fillId="0" borderId="0" xfId="0" applyNumberFormat="1" applyFont="1" applyFill="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0" fontId="12" fillId="0" borderId="0" xfId="0" applyFont="1" applyProtection="1"/>
    <xf numFmtId="0" fontId="13" fillId="27" borderId="0" xfId="0" applyFont="1" applyFill="1" applyBorder="1" applyProtection="1"/>
    <xf numFmtId="0" fontId="7" fillId="0" borderId="0" xfId="0" applyFont="1" applyFill="1" applyProtection="1"/>
    <xf numFmtId="0" fontId="10" fillId="0" borderId="23" xfId="0" applyFont="1" applyBorder="1" applyProtection="1"/>
    <xf numFmtId="0" fontId="10" fillId="0" borderId="17" xfId="0" applyFont="1" applyBorder="1" applyProtection="1"/>
    <xf numFmtId="0" fontId="13" fillId="0" borderId="17" xfId="0" applyFont="1" applyBorder="1" applyProtection="1"/>
    <xf numFmtId="173" fontId="10" fillId="0" borderId="24"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9" xfId="0" applyFont="1" applyBorder="1" applyProtection="1"/>
    <xf numFmtId="0" fontId="7" fillId="0" borderId="0" xfId="86" applyNumberFormat="1" applyFont="1" applyFill="1" applyBorder="1" applyAlignment="1" applyProtection="1">
      <alignment horizontal="left"/>
    </xf>
    <xf numFmtId="173" fontId="10" fillId="0" borderId="25" xfId="86" applyNumberFormat="1" applyFont="1" applyBorder="1" applyProtection="1"/>
    <xf numFmtId="0" fontId="10" fillId="0" borderId="0" xfId="0" applyFont="1" applyFill="1" applyProtection="1"/>
    <xf numFmtId="173" fontId="10" fillId="0" borderId="21" xfId="86" applyNumberFormat="1" applyFont="1" applyBorder="1" applyProtection="1"/>
    <xf numFmtId="173" fontId="13" fillId="0" borderId="6" xfId="86" applyNumberFormat="1" applyFont="1" applyBorder="1" applyProtection="1"/>
    <xf numFmtId="173" fontId="13" fillId="0" borderId="22"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9" xfId="0" applyFont="1" applyFill="1" applyBorder="1" applyProtection="1"/>
    <xf numFmtId="0" fontId="13" fillId="0" borderId="0" xfId="0" applyFont="1" applyBorder="1" applyAlignment="1" applyProtection="1">
      <alignment horizontal="center"/>
    </xf>
    <xf numFmtId="0" fontId="10" fillId="0" borderId="24"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Fill="1" applyBorder="1" applyProtection="1"/>
    <xf numFmtId="173" fontId="13" fillId="0" borderId="20" xfId="0" applyNumberFormat="1" applyFont="1" applyFill="1" applyBorder="1" applyAlignment="1" applyProtection="1">
      <alignment horizontal="right"/>
    </xf>
    <xf numFmtId="10" fontId="13" fillId="0" borderId="0" xfId="0" applyNumberFormat="1" applyFont="1" applyBorder="1" applyProtection="1"/>
    <xf numFmtId="0" fontId="13" fillId="0" borderId="21"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9"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9" xfId="86" applyNumberFormat="1" applyFont="1" applyBorder="1" applyAlignment="1" applyProtection="1">
      <alignment horizontal="center" wrapText="1"/>
    </xf>
    <xf numFmtId="173" fontId="10" fillId="0" borderId="24" xfId="86" applyNumberFormat="1" applyFont="1" applyBorder="1" applyAlignment="1" applyProtection="1">
      <alignment horizontal="center" wrapText="1"/>
    </xf>
    <xf numFmtId="0" fontId="10" fillId="0" borderId="30" xfId="0" applyFont="1" applyBorder="1" applyAlignment="1" applyProtection="1">
      <alignment horizontal="center" wrapText="1"/>
    </xf>
    <xf numFmtId="173" fontId="10" fillId="29" borderId="29" xfId="86" applyNumberFormat="1" applyFont="1" applyFill="1" applyBorder="1" applyAlignment="1" applyProtection="1">
      <alignment horizontal="center" wrapText="1"/>
    </xf>
    <xf numFmtId="0" fontId="10" fillId="0" borderId="31" xfId="0" applyFont="1" applyBorder="1" applyAlignment="1" applyProtection="1">
      <alignment horizontal="center"/>
    </xf>
    <xf numFmtId="0" fontId="10" fillId="0" borderId="6" xfId="0" applyFont="1" applyBorder="1" applyAlignment="1" applyProtection="1">
      <alignment horizontal="center"/>
    </xf>
    <xf numFmtId="173" fontId="10" fillId="0" borderId="31" xfId="86" applyNumberFormat="1" applyFont="1" applyBorder="1" applyAlignment="1" applyProtection="1">
      <alignment horizontal="center"/>
    </xf>
    <xf numFmtId="173" fontId="10" fillId="0" borderId="22" xfId="86" applyNumberFormat="1" applyFont="1" applyBorder="1" applyAlignment="1" applyProtection="1">
      <alignment horizontal="center"/>
    </xf>
    <xf numFmtId="0" fontId="10" fillId="0" borderId="31" xfId="0" applyFont="1" applyFill="1" applyBorder="1" applyAlignment="1" applyProtection="1">
      <alignment horizontal="center"/>
    </xf>
    <xf numFmtId="0" fontId="10" fillId="0" borderId="30" xfId="0" applyFont="1" applyFill="1" applyBorder="1" applyAlignment="1" applyProtection="1">
      <alignment horizontal="center"/>
    </xf>
    <xf numFmtId="173" fontId="10" fillId="29" borderId="31" xfId="86" applyNumberFormat="1" applyFont="1" applyFill="1" applyBorder="1" applyAlignment="1" applyProtection="1">
      <alignment horizontal="center"/>
    </xf>
    <xf numFmtId="0" fontId="13" fillId="0" borderId="30" xfId="0" applyNumberFormat="1" applyFont="1" applyBorder="1" applyAlignment="1" applyProtection="1">
      <alignment horizontal="center"/>
    </xf>
    <xf numFmtId="173" fontId="13" fillId="0" borderId="30" xfId="0" applyNumberFormat="1" applyFont="1" applyBorder="1" applyProtection="1"/>
    <xf numFmtId="173" fontId="13" fillId="0" borderId="30" xfId="86" applyNumberFormat="1" applyFont="1" applyFill="1" applyBorder="1" applyProtection="1"/>
    <xf numFmtId="173" fontId="13" fillId="0" borderId="20" xfId="86" applyNumberFormat="1" applyFont="1" applyFill="1" applyBorder="1" applyProtection="1"/>
    <xf numFmtId="174" fontId="13" fillId="0" borderId="30" xfId="0" applyNumberFormat="1" applyFont="1" applyBorder="1" applyProtection="1"/>
    <xf numFmtId="174" fontId="13" fillId="29" borderId="29" xfId="0" applyNumberFormat="1" applyFont="1" applyFill="1" applyBorder="1" applyProtection="1"/>
    <xf numFmtId="173" fontId="13" fillId="0" borderId="30" xfId="86" applyNumberFormat="1" applyFont="1" applyBorder="1" applyProtection="1"/>
    <xf numFmtId="173" fontId="13" fillId="0" borderId="20" xfId="86" applyNumberFormat="1" applyFont="1" applyBorder="1" applyProtection="1"/>
    <xf numFmtId="174" fontId="13" fillId="29" borderId="30" xfId="0" applyNumberFormat="1" applyFont="1" applyFill="1" applyBorder="1" applyProtection="1"/>
    <xf numFmtId="174" fontId="13" fillId="29" borderId="30" xfId="0" applyNumberFormat="1" applyFont="1" applyFill="1" applyBorder="1" applyAlignment="1" applyProtection="1">
      <alignment wrapText="1"/>
    </xf>
    <xf numFmtId="0" fontId="13" fillId="0" borderId="31" xfId="0" applyNumberFormat="1" applyFont="1" applyBorder="1" applyAlignment="1" applyProtection="1">
      <alignment horizontal="center"/>
    </xf>
    <xf numFmtId="173" fontId="13" fillId="0" borderId="6" xfId="0" applyNumberFormat="1" applyFont="1" applyBorder="1" applyProtection="1"/>
    <xf numFmtId="173" fontId="13" fillId="0" borderId="31" xfId="0" applyNumberFormat="1" applyFont="1" applyBorder="1" applyProtection="1"/>
    <xf numFmtId="173" fontId="13" fillId="0" borderId="31" xfId="86" applyNumberFormat="1" applyFont="1" applyBorder="1" applyProtection="1"/>
    <xf numFmtId="174" fontId="13" fillId="0" borderId="31" xfId="0" applyNumberFormat="1" applyFont="1" applyBorder="1" applyProtection="1"/>
    <xf numFmtId="174" fontId="13" fillId="29" borderId="31" xfId="0" applyNumberFormat="1" applyFont="1" applyFill="1" applyBorder="1" applyProtection="1"/>
    <xf numFmtId="174" fontId="13" fillId="0" borderId="0" xfId="0" applyNumberFormat="1" applyFont="1" applyBorder="1" applyProtection="1"/>
    <xf numFmtId="0" fontId="9" fillId="30" borderId="0" xfId="86" applyNumberFormat="1" applyFont="1" applyFill="1" applyAlignment="1" applyProtection="1">
      <protection locked="0"/>
    </xf>
    <xf numFmtId="0" fontId="20"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9" fillId="0" borderId="20" xfId="0" applyNumberFormat="1" applyFont="1" applyFill="1" applyBorder="1" applyAlignment="1" applyProtection="1">
      <alignment horizontal="right"/>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3" fillId="0" borderId="23" xfId="277" applyFont="1" applyBorder="1" applyAlignment="1" applyProtection="1"/>
    <xf numFmtId="172" fontId="13" fillId="0" borderId="17" xfId="277" applyFont="1" applyBorder="1" applyAlignment="1" applyProtection="1"/>
    <xf numFmtId="3" fontId="13" fillId="0" borderId="24" xfId="277" applyNumberFormat="1" applyFont="1" applyBorder="1" applyAlignment="1" applyProtection="1"/>
    <xf numFmtId="172" fontId="13" fillId="0" borderId="19" xfId="277" applyFont="1" applyBorder="1" applyAlignment="1" applyProtection="1"/>
    <xf numFmtId="3" fontId="13" fillId="0" borderId="20" xfId="277" applyNumberFormat="1" applyFont="1" applyBorder="1" applyAlignment="1" applyProtection="1"/>
    <xf numFmtId="0" fontId="13" fillId="0" borderId="0" xfId="277" quotePrefix="1" applyNumberFormat="1" applyFont="1" applyBorder="1" applyAlignment="1" applyProtection="1">
      <alignment horizontal="center"/>
    </xf>
    <xf numFmtId="0" fontId="13" fillId="0" borderId="20" xfId="0" applyFont="1" applyBorder="1" applyProtection="1"/>
    <xf numFmtId="10" fontId="33" fillId="0" borderId="0" xfId="0" applyNumberFormat="1" applyFont="1" applyFill="1" applyAlignment="1" applyProtection="1">
      <alignment horizontal="center"/>
    </xf>
    <xf numFmtId="0" fontId="13" fillId="0" borderId="19" xfId="0" applyFont="1" applyBorder="1" applyProtection="1"/>
    <xf numFmtId="174" fontId="13" fillId="0" borderId="20" xfId="0" applyNumberFormat="1" applyFont="1" applyBorder="1" applyProtection="1"/>
    <xf numFmtId="174" fontId="13" fillId="0" borderId="22" xfId="0" applyNumberFormat="1" applyFont="1" applyBorder="1" applyProtection="1"/>
    <xf numFmtId="173" fontId="13" fillId="0" borderId="24" xfId="0" applyNumberFormat="1" applyFont="1" applyBorder="1" applyProtection="1"/>
    <xf numFmtId="166" fontId="13" fillId="0" borderId="21" xfId="277" applyNumberFormat="1" applyFont="1" applyBorder="1" applyAlignment="1" applyProtection="1">
      <alignment horizontal="center"/>
    </xf>
    <xf numFmtId="0" fontId="13" fillId="0" borderId="6" xfId="277" applyNumberFormat="1" applyFont="1" applyBorder="1" applyAlignment="1" applyProtection="1">
      <alignment horizontal="center"/>
    </xf>
    <xf numFmtId="173" fontId="13" fillId="0" borderId="6" xfId="277" quotePrefix="1" applyNumberFormat="1" applyFont="1" applyBorder="1" applyAlignment="1" applyProtection="1">
      <alignment horizontal="center"/>
    </xf>
    <xf numFmtId="41" fontId="13" fillId="0" borderId="0" xfId="277" applyNumberFormat="1" applyFont="1" applyFill="1" applyBorder="1" applyAlignment="1" applyProtection="1">
      <alignment horizontal="right"/>
    </xf>
    <xf numFmtId="41" fontId="13" fillId="0" borderId="11" xfId="277" applyNumberFormat="1" applyFont="1" applyFill="1" applyBorder="1" applyAlignment="1" applyProtection="1"/>
    <xf numFmtId="10" fontId="13" fillId="0" borderId="0" xfId="289" applyNumberFormat="1" applyFont="1" applyFill="1" applyBorder="1" applyAlignment="1" applyProtection="1"/>
    <xf numFmtId="173" fontId="13" fillId="0" borderId="0" xfId="86" applyNumberFormat="1" applyFont="1" applyFill="1" applyBorder="1" applyProtection="1"/>
    <xf numFmtId="181" fontId="13" fillId="0" borderId="0" xfId="86" applyNumberFormat="1" applyFont="1" applyProtection="1"/>
    <xf numFmtId="0" fontId="10" fillId="0" borderId="23" xfId="0" applyFont="1" applyFill="1" applyBorder="1" applyAlignment="1" applyProtection="1">
      <alignment horizontal="center"/>
    </xf>
    <xf numFmtId="173" fontId="13" fillId="0" borderId="19" xfId="86" applyNumberFormat="1" applyFont="1" applyBorder="1" applyProtection="1"/>
    <xf numFmtId="173" fontId="10" fillId="0" borderId="0" xfId="86" applyNumberFormat="1" applyFont="1" applyBorder="1" applyProtection="1"/>
    <xf numFmtId="173" fontId="13" fillId="0" borderId="20" xfId="0" applyNumberFormat="1" applyFont="1" applyBorder="1" applyProtection="1"/>
    <xf numFmtId="173" fontId="10" fillId="0" borderId="11" xfId="86" applyNumberFormat="1" applyFont="1" applyBorder="1" applyProtection="1"/>
    <xf numFmtId="173" fontId="13" fillId="0" borderId="25" xfId="0" applyNumberFormat="1" applyFont="1" applyBorder="1" applyProtection="1"/>
    <xf numFmtId="173" fontId="10" fillId="0" borderId="6" xfId="86" applyNumberFormat="1" applyFont="1" applyFill="1" applyBorder="1" applyAlignment="1" applyProtection="1">
      <alignment horizontal="left"/>
    </xf>
    <xf numFmtId="173" fontId="10" fillId="0" borderId="22" xfId="86" applyNumberFormat="1" applyFont="1" applyFill="1" applyBorder="1" applyAlignment="1" applyProtection="1">
      <alignment horizontal="left"/>
    </xf>
    <xf numFmtId="173" fontId="13" fillId="0" borderId="29" xfId="0" applyNumberFormat="1" applyFont="1" applyBorder="1" applyProtection="1"/>
    <xf numFmtId="174" fontId="13" fillId="0" borderId="29" xfId="0" applyNumberFormat="1" applyFont="1" applyBorder="1" applyProtection="1"/>
    <xf numFmtId="0" fontId="0" fillId="0" borderId="0" xfId="0" applyFill="1" applyAlignment="1" applyProtection="1">
      <alignment wrapText="1"/>
    </xf>
    <xf numFmtId="0" fontId="91" fillId="0" borderId="0" xfId="270" applyFont="1" applyFill="1" applyProtection="1"/>
    <xf numFmtId="0" fontId="10" fillId="0" borderId="0" xfId="270" applyFont="1" applyFill="1" applyProtection="1"/>
    <xf numFmtId="3" fontId="10" fillId="0" borderId="0" xfId="277" applyNumberFormat="1" applyFont="1" applyFill="1" applyAlignment="1" applyProtection="1"/>
    <xf numFmtId="0" fontId="3" fillId="0" borderId="0" xfId="270" applyFont="1" applyFill="1" applyProtection="1"/>
    <xf numFmtId="0" fontId="3" fillId="0" borderId="0" xfId="270" applyFont="1" applyFill="1" applyAlignment="1" applyProtection="1">
      <alignment horizontal="left"/>
    </xf>
    <xf numFmtId="0" fontId="13" fillId="0" borderId="0" xfId="270" applyFont="1" applyFill="1" applyAlignment="1" applyProtection="1">
      <alignment horizontal="left"/>
    </xf>
    <xf numFmtId="0" fontId="10" fillId="0" borderId="0" xfId="270" applyFont="1" applyFill="1" applyAlignment="1" applyProtection="1">
      <alignment horizontal="left"/>
    </xf>
    <xf numFmtId="173" fontId="9" fillId="30" borderId="0" xfId="86" applyNumberFormat="1" applyFont="1" applyFill="1" applyBorder="1" applyProtection="1">
      <protection locked="0"/>
    </xf>
    <xf numFmtId="10" fontId="9" fillId="30" borderId="0" xfId="289" applyNumberFormat="1" applyFont="1" applyFill="1" applyAlignment="1" applyProtection="1">
      <alignment horizontal="right" wrapText="1"/>
      <protection locked="0"/>
    </xf>
    <xf numFmtId="44" fontId="9" fillId="30" borderId="0" xfId="121" applyFont="1" applyFill="1" applyAlignment="1" applyProtection="1">
      <alignment horizontal="right" wrapText="1"/>
      <protection locked="0"/>
    </xf>
    <xf numFmtId="173" fontId="21" fillId="30" borderId="0" xfId="86" applyNumberFormat="1" applyFont="1" applyFill="1" applyProtection="1">
      <protection locked="0"/>
    </xf>
    <xf numFmtId="190" fontId="21" fillId="30" borderId="0" xfId="0" applyNumberFormat="1" applyFont="1" applyFill="1" applyProtection="1">
      <protection locked="0"/>
    </xf>
    <xf numFmtId="0" fontId="0" fillId="30" borderId="0" xfId="0" applyFill="1" applyAlignment="1" applyProtection="1">
      <alignment horizontal="center"/>
      <protection locked="0"/>
    </xf>
    <xf numFmtId="0" fontId="21" fillId="30" borderId="0" xfId="0" applyFont="1" applyFill="1" applyProtection="1">
      <protection locked="0"/>
    </xf>
    <xf numFmtId="0" fontId="103" fillId="0" borderId="0" xfId="280" applyFont="1" applyAlignment="1" applyProtection="1"/>
    <xf numFmtId="0" fontId="4" fillId="0" borderId="0" xfId="280" applyProtection="1"/>
    <xf numFmtId="0" fontId="104" fillId="0" borderId="0" xfId="280" applyFont="1" applyProtection="1"/>
    <xf numFmtId="0" fontId="105" fillId="0" borderId="0" xfId="280" applyFont="1" applyAlignment="1" applyProtection="1">
      <alignment horizontal="center"/>
    </xf>
    <xf numFmtId="0" fontId="114" fillId="0" borderId="0" xfId="280" applyFont="1" applyAlignment="1" applyProtection="1">
      <alignment horizontal="center"/>
    </xf>
    <xf numFmtId="0" fontId="4" fillId="0" borderId="0" xfId="280" applyFont="1" applyAlignment="1" applyProtection="1">
      <alignment horizontal="center"/>
    </xf>
    <xf numFmtId="0" fontId="106" fillId="0" borderId="15" xfId="280" applyFont="1" applyBorder="1" applyProtection="1"/>
    <xf numFmtId="0" fontId="104" fillId="0" borderId="15" xfId="280" applyFont="1" applyBorder="1" applyProtection="1"/>
    <xf numFmtId="0" fontId="106" fillId="0" borderId="0" xfId="280" applyFont="1" applyBorder="1" applyProtection="1"/>
    <xf numFmtId="0" fontId="104" fillId="0" borderId="0" xfId="280" applyFont="1" applyBorder="1" applyProtection="1"/>
    <xf numFmtId="0" fontId="4" fillId="0" borderId="0" xfId="280" applyFont="1" applyFill="1" applyBorder="1" applyAlignment="1" applyProtection="1">
      <alignment horizontal="left"/>
    </xf>
    <xf numFmtId="0" fontId="4" fillId="0" borderId="0" xfId="280" applyFill="1" applyProtection="1"/>
    <xf numFmtId="0" fontId="4" fillId="0" borderId="0" xfId="280" applyFont="1" applyFill="1" applyBorder="1" applyProtection="1"/>
    <xf numFmtId="191" fontId="4" fillId="0" borderId="0" xfId="280" applyNumberFormat="1" applyFill="1" applyProtection="1"/>
    <xf numFmtId="0" fontId="4" fillId="0" borderId="0" xfId="280" applyFont="1" applyFill="1" applyBorder="1" applyAlignment="1" applyProtection="1">
      <alignment wrapText="1"/>
    </xf>
    <xf numFmtId="0" fontId="0" fillId="0" borderId="0" xfId="0" applyFill="1" applyBorder="1" applyAlignment="1" applyProtection="1">
      <alignment wrapText="1"/>
    </xf>
    <xf numFmtId="0" fontId="83" fillId="0" borderId="32" xfId="280" applyFont="1" applyFill="1" applyBorder="1" applyAlignment="1" applyProtection="1">
      <alignment horizontal="center"/>
    </xf>
    <xf numFmtId="0" fontId="4" fillId="0" borderId="33" xfId="280" applyFont="1" applyFill="1" applyBorder="1" applyProtection="1"/>
    <xf numFmtId="3" fontId="4" fillId="0" borderId="0" xfId="280" applyNumberFormat="1" applyFont="1" applyFill="1" applyBorder="1" applyProtection="1"/>
    <xf numFmtId="3" fontId="4" fillId="0" borderId="34" xfId="280" applyNumberFormat="1" applyFill="1" applyBorder="1" applyProtection="1"/>
    <xf numFmtId="0" fontId="6" fillId="0" borderId="33" xfId="280" applyFont="1" applyFill="1" applyBorder="1" applyProtection="1"/>
    <xf numFmtId="10" fontId="78" fillId="0" borderId="35" xfId="289" applyNumberFormat="1" applyFont="1" applyFill="1" applyBorder="1" applyAlignment="1" applyProtection="1">
      <alignment horizontal="center"/>
    </xf>
    <xf numFmtId="0" fontId="4" fillId="0" borderId="0" xfId="280" applyBorder="1" applyProtection="1"/>
    <xf numFmtId="0" fontId="4" fillId="0" borderId="0" xfId="280" applyFont="1" applyBorder="1" applyProtection="1"/>
    <xf numFmtId="0" fontId="13" fillId="0" borderId="0" xfId="284" applyFont="1" applyProtection="1"/>
    <xf numFmtId="0" fontId="10" fillId="0" borderId="0" xfId="284" applyFont="1" applyAlignment="1" applyProtection="1">
      <alignment horizontal="center" wrapText="1"/>
    </xf>
    <xf numFmtId="173" fontId="13" fillId="0" borderId="11" xfId="86" applyNumberFormat="1" applyFont="1" applyFill="1" applyBorder="1" applyAlignment="1" applyProtection="1"/>
    <xf numFmtId="173" fontId="13" fillId="0" borderId="0" xfId="86" applyNumberFormat="1" applyFont="1" applyFill="1" applyBorder="1" applyAlignment="1" applyProtection="1"/>
    <xf numFmtId="0" fontId="13" fillId="0" borderId="0" xfId="270" applyFont="1" applyFill="1" applyAlignment="1" applyProtection="1">
      <alignment horizontal="left" vertical="top" wrapText="1"/>
    </xf>
    <xf numFmtId="0" fontId="111" fillId="0" borderId="0" xfId="284" applyProtection="1"/>
    <xf numFmtId="0" fontId="10" fillId="0" borderId="0" xfId="284" applyFont="1" applyFill="1" applyProtection="1"/>
    <xf numFmtId="173" fontId="13" fillId="0" borderId="0" xfId="284" applyNumberFormat="1" applyFont="1" applyProtection="1"/>
    <xf numFmtId="0" fontId="13" fillId="0" borderId="0" xfId="284" applyFont="1" applyAlignment="1" applyProtection="1">
      <alignment vertical="top" wrapText="1"/>
    </xf>
    <xf numFmtId="10" fontId="13" fillId="0" borderId="0" xfId="284" applyNumberFormat="1" applyFont="1" applyProtection="1"/>
    <xf numFmtId="44" fontId="13" fillId="0" borderId="0" xfId="284" applyNumberFormat="1" applyFont="1" applyProtection="1"/>
    <xf numFmtId="0" fontId="115" fillId="0" borderId="0" xfId="284" applyFont="1" applyFill="1" applyProtection="1"/>
    <xf numFmtId="173" fontId="13" fillId="0" borderId="11" xfId="284" applyNumberFormat="1" applyFont="1" applyBorder="1" applyProtection="1"/>
    <xf numFmtId="10" fontId="13" fillId="0" borderId="0" xfId="289" applyNumberFormat="1" applyFont="1" applyProtection="1"/>
    <xf numFmtId="0" fontId="13" fillId="0" borderId="0" xfId="284" applyFont="1" applyFill="1" applyProtection="1"/>
    <xf numFmtId="10" fontId="13" fillId="0" borderId="0" xfId="289" applyNumberFormat="1" applyFont="1" applyFill="1" applyProtection="1"/>
    <xf numFmtId="10" fontId="13" fillId="32" borderId="0" xfId="289" applyNumberFormat="1" applyFont="1" applyFill="1" applyProtection="1"/>
    <xf numFmtId="10" fontId="13" fillId="0" borderId="11" xfId="289" applyNumberFormat="1" applyFont="1" applyBorder="1" applyProtection="1"/>
    <xf numFmtId="0" fontId="10" fillId="0" borderId="0" xfId="284" applyFont="1" applyProtection="1"/>
    <xf numFmtId="10" fontId="10" fillId="0" borderId="0" xfId="289" applyNumberFormat="1" applyFont="1" applyProtection="1"/>
    <xf numFmtId="173" fontId="13" fillId="0" borderId="11" xfId="86" applyNumberFormat="1" applyFont="1" applyFill="1" applyBorder="1" applyProtection="1"/>
    <xf numFmtId="0" fontId="116" fillId="0" borderId="0" xfId="284" applyFont="1" applyFill="1" applyProtection="1"/>
    <xf numFmtId="0" fontId="13" fillId="0" borderId="0" xfId="270" applyFont="1" applyFill="1" applyBorder="1" applyAlignment="1" applyProtection="1">
      <alignment horizontal="left"/>
    </xf>
    <xf numFmtId="0" fontId="95" fillId="0" borderId="0" xfId="284" applyFont="1" applyFill="1" applyProtection="1"/>
    <xf numFmtId="173" fontId="13" fillId="0" borderId="0" xfId="284" applyNumberFormat="1" applyFont="1" applyFill="1" applyProtection="1"/>
    <xf numFmtId="0" fontId="13" fillId="0" borderId="0" xfId="284" applyFont="1" applyFill="1" applyAlignment="1" applyProtection="1">
      <alignment vertical="top" wrapText="1"/>
    </xf>
    <xf numFmtId="43" fontId="13" fillId="0" borderId="0" xfId="284" applyNumberFormat="1" applyFont="1" applyProtection="1"/>
    <xf numFmtId="10" fontId="13" fillId="0" borderId="11" xfId="289" applyNumberFormat="1" applyFont="1" applyFill="1" applyBorder="1" applyProtection="1"/>
    <xf numFmtId="10" fontId="95" fillId="0" borderId="0" xfId="289" applyNumberFormat="1" applyFont="1" applyFill="1" applyProtection="1"/>
    <xf numFmtId="10" fontId="13" fillId="30" borderId="0" xfId="289" applyNumberFormat="1" applyFont="1" applyFill="1" applyAlignment="1" applyProtection="1">
      <alignment horizontal="right" wrapText="1"/>
      <protection locked="0"/>
    </xf>
    <xf numFmtId="164" fontId="9" fillId="30" borderId="0" xfId="289" applyNumberFormat="1" applyFont="1" applyFill="1" applyAlignment="1" applyProtection="1">
      <alignment horizontal="right" wrapText="1"/>
      <protection locked="0"/>
    </xf>
    <xf numFmtId="44" fontId="13" fillId="30" borderId="0" xfId="121" applyFont="1" applyFill="1" applyAlignment="1" applyProtection="1">
      <alignment horizontal="right" wrapText="1"/>
      <protection locked="0"/>
    </xf>
    <xf numFmtId="173" fontId="13" fillId="30" borderId="0" xfId="86" applyNumberFormat="1" applyFont="1" applyFill="1" applyProtection="1">
      <protection locked="0"/>
    </xf>
    <xf numFmtId="170" fontId="123" fillId="30" borderId="31" xfId="0" applyNumberFormat="1" applyFont="1" applyFill="1" applyBorder="1" applyAlignment="1" applyProtection="1">
      <alignment horizontal="center"/>
      <protection locked="0"/>
    </xf>
    <xf numFmtId="0" fontId="123" fillId="0" borderId="0" xfId="0" applyFont="1" applyFill="1" applyAlignment="1" applyProtection="1">
      <alignment horizontal="left"/>
    </xf>
    <xf numFmtId="0" fontId="123" fillId="0" borderId="0" xfId="0" applyFont="1" applyFill="1" applyProtection="1"/>
    <xf numFmtId="0" fontId="123" fillId="0" borderId="29" xfId="0" applyFont="1" applyFill="1" applyBorder="1" applyAlignment="1" applyProtection="1">
      <alignment horizontal="center" wrapText="1"/>
    </xf>
    <xf numFmtId="0" fontId="123" fillId="0" borderId="30" xfId="0" applyFont="1" applyFill="1" applyBorder="1" applyAlignment="1" applyProtection="1">
      <alignment horizontal="center" wrapText="1"/>
    </xf>
    <xf numFmtId="0" fontId="123" fillId="0" borderId="30"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6" fillId="0" borderId="0" xfId="0" applyNumberFormat="1" applyFont="1" applyFill="1" applyProtection="1"/>
    <xf numFmtId="5" fontId="123" fillId="0" borderId="31"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6"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5" fontId="123" fillId="0" borderId="0" xfId="29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88" applyNumberFormat="1" applyFont="1" applyFill="1" applyProtection="1"/>
    <xf numFmtId="175" fontId="123" fillId="0" borderId="0" xfId="0" applyNumberFormat="1" applyFont="1" applyFill="1" applyProtection="1"/>
    <xf numFmtId="173" fontId="123" fillId="0" borderId="11" xfId="88" applyNumberFormat="1" applyFont="1" applyFill="1" applyBorder="1" applyProtection="1"/>
    <xf numFmtId="173" fontId="124" fillId="0" borderId="0" xfId="88" applyNumberFormat="1" applyFont="1" applyFill="1" applyProtection="1"/>
    <xf numFmtId="173" fontId="124" fillId="0" borderId="0" xfId="8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3" fontId="6" fillId="0" borderId="0" xfId="0" applyNumberFormat="1" applyFont="1" applyFill="1" applyProtection="1"/>
    <xf numFmtId="173" fontId="6" fillId="0" borderId="0" xfId="88" applyNumberFormat="1" applyFont="1" applyFill="1" applyProtection="1"/>
    <xf numFmtId="173" fontId="6" fillId="0" borderId="0" xfId="122" applyNumberFormat="1" applyFont="1" applyFill="1" applyProtection="1"/>
    <xf numFmtId="175" fontId="123" fillId="30" borderId="0" xfId="290" applyNumberFormat="1" applyFont="1" applyFill="1" applyProtection="1">
      <protection locked="0"/>
    </xf>
    <xf numFmtId="0" fontId="13" fillId="32" borderId="0" xfId="0" applyFont="1" applyFill="1" applyProtection="1"/>
    <xf numFmtId="173" fontId="3" fillId="30" borderId="6" xfId="277"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3" fillId="30" borderId="6" xfId="0" applyNumberFormat="1" applyFont="1" applyFill="1" applyBorder="1" applyProtection="1">
      <protection locked="0"/>
    </xf>
    <xf numFmtId="3" fontId="6" fillId="32" borderId="0" xfId="277" applyNumberFormat="1" applyFont="1" applyFill="1" applyBorder="1" applyAlignment="1" applyProtection="1"/>
    <xf numFmtId="41" fontId="13" fillId="32" borderId="0" xfId="277" applyNumberFormat="1" applyFont="1" applyFill="1" applyBorder="1" applyAlignment="1" applyProtection="1"/>
    <xf numFmtId="41" fontId="13" fillId="32" borderId="0" xfId="277" applyNumberFormat="1" applyFont="1" applyFill="1" applyBorder="1" applyAlignment="1" applyProtection="1">
      <alignment horizontal="center"/>
    </xf>
    <xf numFmtId="41" fontId="13" fillId="32" borderId="0" xfId="0" applyNumberFormat="1" applyFont="1" applyFill="1" applyBorder="1" applyProtection="1"/>
    <xf numFmtId="41" fontId="13" fillId="32" borderId="0" xfId="0" applyNumberFormat="1" applyFont="1" applyFill="1" applyProtection="1"/>
    <xf numFmtId="173" fontId="13" fillId="32" borderId="0" xfId="86" applyNumberFormat="1" applyFont="1" applyFill="1" applyProtection="1"/>
    <xf numFmtId="10" fontId="13" fillId="32" borderId="0" xfId="0" applyNumberFormat="1" applyFont="1" applyFill="1" applyProtection="1"/>
    <xf numFmtId="10" fontId="14" fillId="32" borderId="0" xfId="0" applyNumberFormat="1" applyFont="1" applyFill="1" applyProtection="1"/>
    <xf numFmtId="3" fontId="6" fillId="30" borderId="0" xfId="0" applyNumberFormat="1" applyFont="1" applyFill="1" applyAlignment="1" applyProtection="1">
      <alignment horizontal="center"/>
      <protection locked="0"/>
    </xf>
    <xf numFmtId="0" fontId="16" fillId="30" borderId="0" xfId="270" applyFont="1" applyFill="1" applyAlignment="1" applyProtection="1">
      <alignment horizontal="left"/>
      <protection locked="0"/>
    </xf>
    <xf numFmtId="0" fontId="16" fillId="30" borderId="0" xfId="270" applyFont="1" applyFill="1" applyProtection="1">
      <protection locked="0"/>
    </xf>
    <xf numFmtId="0" fontId="11" fillId="30" borderId="0" xfId="270" applyFont="1" applyFill="1" applyAlignment="1" applyProtection="1">
      <alignment horizontal="center"/>
      <protection locked="0"/>
    </xf>
    <xf numFmtId="3" fontId="64" fillId="30" borderId="0" xfId="0" quotePrefix="1" applyNumberFormat="1" applyFont="1" applyFill="1" applyProtection="1">
      <protection locked="0"/>
    </xf>
    <xf numFmtId="3" fontId="126" fillId="30" borderId="0" xfId="0" applyNumberFormat="1" applyFont="1" applyFill="1" applyProtection="1">
      <protection locked="0"/>
    </xf>
    <xf numFmtId="41" fontId="126" fillId="30" borderId="0" xfId="270" applyNumberFormat="1" applyFont="1" applyFill="1" applyProtection="1">
      <protection locked="0"/>
    </xf>
    <xf numFmtId="0" fontId="64" fillId="0" borderId="0" xfId="270" applyFont="1" applyAlignment="1">
      <alignment horizontal="center"/>
    </xf>
    <xf numFmtId="0" fontId="64" fillId="0" borderId="0" xfId="270" applyFont="1"/>
    <xf numFmtId="41" fontId="64" fillId="0" borderId="0" xfId="270" applyNumberFormat="1" applyFont="1"/>
    <xf numFmtId="41" fontId="126" fillId="30" borderId="11" xfId="270" applyNumberFormat="1" applyFont="1" applyFill="1" applyBorder="1" applyProtection="1">
      <protection locked="0"/>
    </xf>
    <xf numFmtId="0" fontId="64" fillId="0" borderId="0" xfId="270" applyFont="1" applyFill="1"/>
    <xf numFmtId="0" fontId="64" fillId="0" borderId="0" xfId="0" applyFont="1"/>
    <xf numFmtId="173" fontId="64" fillId="0" borderId="0" xfId="86" applyNumberFormat="1" applyFont="1" applyFill="1"/>
    <xf numFmtId="173" fontId="127" fillId="0" borderId="0" xfId="86" applyNumberFormat="1" applyFont="1" applyFill="1"/>
    <xf numFmtId="41" fontId="64" fillId="0" borderId="0" xfId="270" applyNumberFormat="1" applyFont="1" applyFill="1"/>
    <xf numFmtId="38" fontId="64" fillId="0" borderId="0" xfId="0" applyNumberFormat="1" applyFont="1" applyFill="1" applyBorder="1" applyAlignment="1"/>
    <xf numFmtId="0" fontId="64" fillId="0" borderId="0" xfId="220" applyFont="1" applyFill="1" applyBorder="1" applyAlignment="1">
      <alignment horizontal="center"/>
    </xf>
    <xf numFmtId="0" fontId="64" fillId="0" borderId="0" xfId="220" applyFont="1" applyFill="1" applyBorder="1"/>
    <xf numFmtId="0" fontId="64" fillId="0" borderId="0" xfId="270" applyFont="1" applyAlignment="1">
      <alignment horizontal="left"/>
    </xf>
    <xf numFmtId="3" fontId="64" fillId="0" borderId="0" xfId="220" applyNumberFormat="1" applyFont="1" applyFill="1" applyBorder="1" applyAlignment="1"/>
    <xf numFmtId="38" fontId="64" fillId="0" borderId="0" xfId="0" applyNumberFormat="1" applyFont="1" applyFill="1" applyBorder="1" applyAlignment="1">
      <alignment horizontal="center"/>
    </xf>
    <xf numFmtId="0" fontId="128" fillId="0" borderId="0" xfId="270" applyFont="1" applyAlignment="1">
      <alignment horizontal="center"/>
    </xf>
    <xf numFmtId="0" fontId="41" fillId="0" borderId="0" xfId="270" applyFont="1" applyFill="1" applyAlignment="1">
      <alignment horizontal="center"/>
    </xf>
    <xf numFmtId="9" fontId="41" fillId="0" borderId="0" xfId="270" applyNumberFormat="1" applyFont="1" applyFill="1" applyAlignment="1">
      <alignment horizontal="center"/>
    </xf>
    <xf numFmtId="0" fontId="41" fillId="0" borderId="0" xfId="270" applyFont="1" applyFill="1" applyBorder="1"/>
    <xf numFmtId="0" fontId="41" fillId="0" borderId="0" xfId="270" applyFont="1" applyAlignment="1">
      <alignment horizontal="center" wrapText="1"/>
    </xf>
    <xf numFmtId="0" fontId="128" fillId="0" borderId="0" xfId="270" applyFont="1" applyAlignment="1">
      <alignment horizontal="right"/>
    </xf>
    <xf numFmtId="0" fontId="64" fillId="0" borderId="0" xfId="0" applyFont="1" applyAlignment="1">
      <alignment horizontal="center" wrapText="1"/>
    </xf>
    <xf numFmtId="0" fontId="41" fillId="0" borderId="11" xfId="270" applyFont="1" applyBorder="1" applyAlignment="1">
      <alignment horizontal="center"/>
    </xf>
    <xf numFmtId="173" fontId="154" fillId="30" borderId="0" xfId="86" applyNumberFormat="1" applyFont="1" applyFill="1"/>
    <xf numFmtId="173" fontId="13" fillId="0" borderId="30" xfId="98" applyNumberFormat="1" applyFont="1" applyFill="1" applyBorder="1" applyProtection="1"/>
    <xf numFmtId="173" fontId="13" fillId="0" borderId="20" xfId="98" applyNumberFormat="1" applyFont="1" applyFill="1" applyBorder="1" applyProtection="1"/>
    <xf numFmtId="0" fontId="13" fillId="0" borderId="0" xfId="0" applyFont="1" applyAlignment="1" applyProtection="1">
      <alignment vertical="top" wrapText="1"/>
    </xf>
    <xf numFmtId="0" fontId="10" fillId="0" borderId="0" xfId="283" applyFont="1" applyFill="1" applyAlignment="1" applyProtection="1">
      <alignment horizontal="center"/>
    </xf>
    <xf numFmtId="43" fontId="13" fillId="0" borderId="0" xfId="119" applyFont="1" applyFill="1" applyProtection="1"/>
    <xf numFmtId="173" fontId="9" fillId="30" borderId="0" xfId="119" applyNumberFormat="1" applyFont="1" applyFill="1" applyProtection="1">
      <protection locked="0"/>
    </xf>
    <xf numFmtId="173" fontId="13" fillId="0" borderId="0" xfId="283" applyNumberFormat="1" applyFont="1" applyFill="1" applyProtection="1"/>
    <xf numFmtId="0" fontId="131" fillId="0" borderId="0" xfId="0" applyFont="1" applyAlignment="1">
      <alignment vertical="center"/>
    </xf>
    <xf numFmtId="0" fontId="72" fillId="0" borderId="11" xfId="278" applyFont="1" applyBorder="1" applyAlignment="1">
      <alignment horizontal="center"/>
    </xf>
    <xf numFmtId="173" fontId="79" fillId="30" borderId="11" xfId="278" applyNumberFormat="1" applyFont="1" applyFill="1" applyBorder="1" applyProtection="1">
      <protection locked="0"/>
    </xf>
    <xf numFmtId="173" fontId="79" fillId="0" borderId="11" xfId="278" applyNumberFormat="1" applyFont="1" applyFill="1" applyBorder="1"/>
    <xf numFmtId="0" fontId="72" fillId="0" borderId="11" xfId="278" applyFont="1" applyBorder="1"/>
    <xf numFmtId="0" fontId="13" fillId="0" borderId="11" xfId="278" applyFont="1" applyBorder="1"/>
    <xf numFmtId="0" fontId="19" fillId="0" borderId="11" xfId="278" applyFont="1" applyFill="1" applyBorder="1"/>
    <xf numFmtId="173" fontId="90" fillId="0" borderId="11" xfId="278" applyNumberFormat="1" applyFont="1" applyFill="1" applyBorder="1"/>
    <xf numFmtId="173" fontId="72" fillId="0" borderId="0" xfId="278" applyNumberFormat="1" applyFont="1" applyFill="1" applyBorder="1" applyProtection="1">
      <protection locked="0"/>
    </xf>
    <xf numFmtId="9" fontId="79" fillId="30" borderId="0" xfId="289" applyFont="1" applyFill="1" applyBorder="1" applyProtection="1">
      <protection locked="0"/>
    </xf>
    <xf numFmtId="173" fontId="79" fillId="30" borderId="0" xfId="278" applyNumberFormat="1" applyFont="1" applyFill="1" applyBorder="1" applyAlignment="1" applyProtection="1">
      <alignment horizontal="center"/>
      <protection locked="0"/>
    </xf>
    <xf numFmtId="0" fontId="13" fillId="0" borderId="0" xfId="174"/>
    <xf numFmtId="0" fontId="13" fillId="0" borderId="0" xfId="174" applyAlignment="1">
      <alignment horizontal="center"/>
    </xf>
    <xf numFmtId="0" fontId="13" fillId="0" borderId="0" xfId="174" applyFont="1" applyFill="1" applyAlignment="1">
      <alignment horizontal="center"/>
    </xf>
    <xf numFmtId="0" fontId="13" fillId="0" borderId="0" xfId="174" applyFont="1" applyAlignment="1">
      <alignment horizontal="center"/>
    </xf>
    <xf numFmtId="0" fontId="13" fillId="0" borderId="0" xfId="174" applyFont="1" applyAlignment="1"/>
    <xf numFmtId="0" fontId="13" fillId="0" borderId="0" xfId="174" applyFill="1" applyAlignment="1"/>
    <xf numFmtId="0" fontId="13" fillId="0" borderId="0" xfId="174" applyProtection="1"/>
    <xf numFmtId="41" fontId="9" fillId="30" borderId="0" xfId="271" applyNumberFormat="1" applyFont="1" applyFill="1" applyProtection="1">
      <protection locked="0"/>
    </xf>
    <xf numFmtId="0" fontId="13" fillId="0" borderId="0" xfId="174" applyFont="1" applyFill="1" applyAlignment="1"/>
    <xf numFmtId="0" fontId="13" fillId="0" borderId="0" xfId="174" applyFill="1" applyAlignment="1">
      <alignment horizontal="center"/>
    </xf>
    <xf numFmtId="0" fontId="10" fillId="0" borderId="0" xfId="174" applyFont="1" applyFill="1" applyAlignment="1">
      <alignment horizontal="left"/>
    </xf>
    <xf numFmtId="3" fontId="13" fillId="0" borderId="0" xfId="174" applyNumberFormat="1" applyFont="1" applyFill="1" applyAlignment="1"/>
    <xf numFmtId="3" fontId="13" fillId="0" borderId="0" xfId="174" applyNumberFormat="1" applyFill="1" applyAlignment="1"/>
    <xf numFmtId="0" fontId="14" fillId="0" borderId="0" xfId="174" applyFont="1" applyFill="1" applyAlignment="1">
      <alignment horizontal="center"/>
    </xf>
    <xf numFmtId="3" fontId="13" fillId="0" borderId="0" xfId="174" applyNumberFormat="1" applyFont="1" applyFill="1" applyAlignment="1">
      <alignment horizontal="centerContinuous"/>
    </xf>
    <xf numFmtId="3" fontId="14" fillId="0" borderId="0" xfId="174" applyNumberFormat="1" applyFont="1" applyFill="1" applyAlignment="1">
      <alignment horizontal="centerContinuous"/>
    </xf>
    <xf numFmtId="3" fontId="13" fillId="0" borderId="0" xfId="174" applyNumberFormat="1" applyFill="1" applyAlignment="1">
      <alignment horizontal="centerContinuous"/>
    </xf>
    <xf numFmtId="3" fontId="13" fillId="0" borderId="36" xfId="174" applyNumberFormat="1" applyFont="1" applyFill="1" applyBorder="1" applyAlignment="1"/>
    <xf numFmtId="3" fontId="13" fillId="0" borderId="0" xfId="174" applyNumberFormat="1" applyFont="1" applyFill="1" applyAlignment="1">
      <alignment horizontal="left"/>
    </xf>
    <xf numFmtId="37" fontId="13" fillId="0" borderId="0" xfId="174" applyNumberFormat="1" applyFont="1" applyFill="1" applyAlignment="1"/>
    <xf numFmtId="37" fontId="13" fillId="0" borderId="0" xfId="174" applyNumberFormat="1" applyFont="1" applyFill="1" applyAlignment="1">
      <alignment horizontal="center"/>
    </xf>
    <xf numFmtId="37" fontId="13" fillId="0" borderId="36" xfId="174" applyNumberFormat="1" applyFont="1" applyFill="1" applyBorder="1" applyAlignment="1"/>
    <xf numFmtId="37" fontId="13" fillId="0" borderId="37" xfId="174" applyNumberFormat="1" applyFont="1" applyFill="1" applyBorder="1" applyAlignment="1"/>
    <xf numFmtId="37" fontId="13" fillId="0" borderId="0" xfId="174" applyNumberFormat="1" applyFill="1" applyAlignment="1"/>
    <xf numFmtId="37" fontId="13" fillId="0" borderId="38" xfId="174" applyNumberFormat="1" applyFont="1" applyFill="1" applyBorder="1" applyAlignment="1"/>
    <xf numFmtId="37" fontId="13" fillId="0" borderId="0" xfId="174" applyNumberFormat="1" applyFont="1" applyFill="1"/>
    <xf numFmtId="3" fontId="13" fillId="0" borderId="0" xfId="174" applyNumberFormat="1" applyFont="1" applyFill="1" applyAlignment="1" applyProtection="1">
      <alignment horizontal="center"/>
      <protection locked="0"/>
    </xf>
    <xf numFmtId="3" fontId="13" fillId="0" borderId="0" xfId="174" applyNumberFormat="1" applyFont="1" applyFill="1" applyAlignment="1">
      <alignment horizontal="center"/>
    </xf>
    <xf numFmtId="3" fontId="13" fillId="0" borderId="0" xfId="174" applyNumberFormat="1" applyFont="1" applyAlignment="1" applyProtection="1">
      <protection locked="0"/>
    </xf>
    <xf numFmtId="3" fontId="13" fillId="0" borderId="0" xfId="174" applyNumberFormat="1" applyFont="1" applyAlignment="1"/>
    <xf numFmtId="0" fontId="14" fillId="0" borderId="0" xfId="174" applyFont="1" applyAlignment="1">
      <alignment horizontal="center"/>
    </xf>
    <xf numFmtId="3" fontId="13" fillId="0" borderId="0" xfId="174" applyNumberFormat="1" applyFont="1" applyAlignment="1">
      <alignment horizontal="centerContinuous"/>
    </xf>
    <xf numFmtId="3" fontId="14" fillId="0" borderId="0" xfId="174" applyNumberFormat="1" applyFont="1" applyAlignment="1">
      <alignment horizontal="centerContinuous"/>
    </xf>
    <xf numFmtId="3" fontId="13" fillId="0" borderId="0" xfId="174" applyNumberFormat="1" applyAlignment="1">
      <alignment horizontal="centerContinuous"/>
    </xf>
    <xf numFmtId="3" fontId="13" fillId="0" borderId="36" xfId="174" applyNumberFormat="1" applyFont="1" applyBorder="1" applyAlignment="1"/>
    <xf numFmtId="0" fontId="13" fillId="0" borderId="0" xfId="174" applyFont="1" applyFill="1" applyAlignment="1">
      <alignment horizontal="left"/>
    </xf>
    <xf numFmtId="37" fontId="13" fillId="0" borderId="14" xfId="174" applyNumberFormat="1" applyFont="1" applyFill="1" applyBorder="1" applyAlignment="1"/>
    <xf numFmtId="37" fontId="13" fillId="0" borderId="0" xfId="174" applyNumberFormat="1"/>
    <xf numFmtId="37" fontId="155" fillId="0" borderId="37" xfId="174" applyNumberFormat="1" applyFont="1" applyFill="1" applyBorder="1" applyAlignment="1"/>
    <xf numFmtId="37" fontId="155" fillId="0" borderId="0" xfId="174" applyNumberFormat="1" applyFont="1" applyFill="1" applyAlignment="1"/>
    <xf numFmtId="4" fontId="13" fillId="0" borderId="0" xfId="174" applyNumberFormat="1" applyFont="1" applyFill="1" applyAlignment="1">
      <alignment horizontal="center"/>
    </xf>
    <xf numFmtId="194" fontId="9" fillId="30" borderId="0" xfId="271" applyNumberFormat="1" applyFont="1" applyFill="1" applyProtection="1">
      <protection locked="0"/>
    </xf>
    <xf numFmtId="3" fontId="13" fillId="33" borderId="0" xfId="174" applyNumberFormat="1" applyFont="1" applyFill="1" applyAlignment="1"/>
    <xf numFmtId="0" fontId="13" fillId="33" borderId="0" xfId="174" applyFill="1"/>
    <xf numFmtId="3" fontId="13" fillId="33" borderId="0" xfId="174" applyNumberFormat="1" applyFont="1" applyFill="1" applyAlignment="1" applyProtection="1">
      <alignment horizontal="center"/>
      <protection locked="0"/>
    </xf>
    <xf numFmtId="0" fontId="13" fillId="33" borderId="0" xfId="174" applyFont="1" applyFill="1" applyAlignment="1">
      <alignment horizontal="center"/>
    </xf>
    <xf numFmtId="0" fontId="14" fillId="33" borderId="0" xfId="174" applyFont="1" applyFill="1" applyAlignment="1">
      <alignment horizontal="center"/>
    </xf>
    <xf numFmtId="41" fontId="9" fillId="30" borderId="0" xfId="272" applyNumberFormat="1" applyFont="1" applyFill="1"/>
    <xf numFmtId="3" fontId="10" fillId="0" borderId="0" xfId="174" applyNumberFormat="1" applyFont="1" applyFill="1" applyAlignment="1">
      <alignment horizontal="left"/>
    </xf>
    <xf numFmtId="194" fontId="9" fillId="30" borderId="0" xfId="272" applyNumberFormat="1" applyFont="1" applyFill="1" applyProtection="1">
      <protection locked="0"/>
    </xf>
    <xf numFmtId="173" fontId="79" fillId="30" borderId="0" xfId="278" applyNumberFormat="1" applyFont="1" applyFill="1" applyBorder="1" applyProtection="1">
      <protection locked="0"/>
    </xf>
    <xf numFmtId="173" fontId="13" fillId="0" borderId="0" xfId="278" applyNumberFormat="1" applyFont="1"/>
    <xf numFmtId="173" fontId="79" fillId="30" borderId="0" xfId="278" applyNumberFormat="1" applyFont="1" applyFill="1" applyBorder="1" applyProtection="1">
      <protection locked="0"/>
    </xf>
    <xf numFmtId="0" fontId="19" fillId="0" borderId="11" xfId="278" applyNumberFormat="1" applyFont="1" applyBorder="1" applyAlignment="1">
      <alignment horizontal="center"/>
    </xf>
    <xf numFmtId="0" fontId="19" fillId="0" borderId="11" xfId="278" applyNumberFormat="1" applyFont="1" applyBorder="1"/>
    <xf numFmtId="0" fontId="19" fillId="0" borderId="11" xfId="278" applyFont="1" applyBorder="1"/>
    <xf numFmtId="173" fontId="72" fillId="0" borderId="11" xfId="278" applyNumberFormat="1" applyFont="1" applyFill="1" applyBorder="1"/>
    <xf numFmtId="0" fontId="13" fillId="0" borderId="0" xfId="0" applyFont="1" applyFill="1" applyAlignment="1" applyProtection="1">
      <alignment vertical="top" wrapText="1"/>
    </xf>
    <xf numFmtId="0" fontId="13" fillId="0" borderId="0" xfId="0" applyNumberFormat="1" applyFont="1" applyAlignment="1">
      <alignment horizontal="center"/>
    </xf>
    <xf numFmtId="0" fontId="13" fillId="0" borderId="0" xfId="0" applyFont="1" applyAlignment="1"/>
    <xf numFmtId="0" fontId="13" fillId="0" borderId="0" xfId="0" applyFont="1" applyAlignment="1">
      <alignment horizontal="right"/>
    </xf>
    <xf numFmtId="0" fontId="10" fillId="0" borderId="0" xfId="281" applyFont="1" applyAlignment="1">
      <alignment horizontal="centerContinuous"/>
    </xf>
    <xf numFmtId="0" fontId="13" fillId="0" borderId="0" xfId="281" applyFont="1" applyFill="1" applyAlignment="1">
      <alignment horizontal="left"/>
    </xf>
    <xf numFmtId="0" fontId="10" fillId="0" borderId="0" xfId="281" applyFont="1" applyAlignment="1">
      <alignment horizontal="center"/>
    </xf>
    <xf numFmtId="0" fontId="10" fillId="0" borderId="0" xfId="281" applyFont="1" applyBorder="1" applyAlignment="1">
      <alignment wrapText="1"/>
    </xf>
    <xf numFmtId="0" fontId="13" fillId="0" borderId="39" xfId="0" applyNumberFormat="1" applyFont="1" applyBorder="1" applyAlignment="1">
      <alignment horizontal="center" wrapText="1"/>
    </xf>
    <xf numFmtId="0" fontId="10" fillId="0" borderId="32" xfId="281" applyFont="1" applyBorder="1" applyAlignment="1">
      <alignment horizontal="center" wrapText="1"/>
    </xf>
    <xf numFmtId="0" fontId="10" fillId="0" borderId="0" xfId="281" applyFont="1" applyBorder="1" applyAlignment="1">
      <alignment horizontal="center" wrapText="1"/>
    </xf>
    <xf numFmtId="0" fontId="13" fillId="0" borderId="0" xfId="0" applyFont="1" applyBorder="1" applyAlignment="1">
      <alignment wrapText="1"/>
    </xf>
    <xf numFmtId="0" fontId="13" fillId="0" borderId="0" xfId="0" applyFont="1" applyAlignment="1">
      <alignment wrapText="1"/>
    </xf>
    <xf numFmtId="0" fontId="13" fillId="0" borderId="33" xfId="0" applyNumberFormat="1" applyFont="1" applyBorder="1" applyAlignment="1">
      <alignment horizontal="center"/>
    </xf>
    <xf numFmtId="0" fontId="10" fillId="0" borderId="34" xfId="281" applyFont="1" applyBorder="1" applyAlignment="1">
      <alignment horizontal="center"/>
    </xf>
    <xf numFmtId="0" fontId="10" fillId="0" borderId="0" xfId="281" applyFont="1" applyBorder="1" applyAlignment="1">
      <alignment horizontal="center"/>
    </xf>
    <xf numFmtId="0" fontId="10" fillId="0" borderId="34" xfId="269" applyFont="1" applyFill="1" applyBorder="1" applyAlignment="1">
      <alignment horizontal="center" wrapText="1"/>
    </xf>
    <xf numFmtId="0" fontId="133" fillId="0" borderId="0" xfId="0" applyFont="1" applyAlignment="1"/>
    <xf numFmtId="3" fontId="25" fillId="0" borderId="11" xfId="220" applyNumberFormat="1" applyFont="1" applyFill="1" applyBorder="1" applyAlignment="1">
      <alignment horizontal="center" wrapText="1"/>
    </xf>
    <xf numFmtId="3" fontId="25" fillId="0" borderId="35" xfId="220" applyNumberFormat="1" applyFont="1" applyFill="1" applyBorder="1" applyAlignment="1">
      <alignment horizontal="center" wrapText="1"/>
    </xf>
    <xf numFmtId="0" fontId="13" fillId="0" borderId="34" xfId="281" quotePrefix="1" applyFont="1" applyBorder="1" applyAlignment="1">
      <alignment horizontal="left"/>
    </xf>
    <xf numFmtId="173" fontId="9" fillId="26" borderId="0" xfId="112" applyNumberFormat="1" applyFont="1" applyFill="1" applyAlignment="1" applyProtection="1">
      <protection locked="0"/>
    </xf>
    <xf numFmtId="0" fontId="13" fillId="0" borderId="34" xfId="281" applyFont="1" applyBorder="1"/>
    <xf numFmtId="0" fontId="13" fillId="0" borderId="40" xfId="0" applyNumberFormat="1" applyFont="1" applyBorder="1" applyAlignment="1">
      <alignment horizontal="center"/>
    </xf>
    <xf numFmtId="0" fontId="13" fillId="0" borderId="35" xfId="281" applyFont="1" applyBorder="1"/>
    <xf numFmtId="0" fontId="13" fillId="0" borderId="35" xfId="281" applyFont="1" applyBorder="1" applyAlignment="1">
      <alignment horizontal="right"/>
    </xf>
    <xf numFmtId="173" fontId="13" fillId="0" borderId="14" xfId="88" applyNumberFormat="1" applyFont="1" applyBorder="1"/>
    <xf numFmtId="173" fontId="13" fillId="0" borderId="41" xfId="88" applyNumberFormat="1" applyFont="1" applyBorder="1"/>
    <xf numFmtId="0" fontId="13" fillId="0" borderId="0" xfId="281" applyFont="1"/>
    <xf numFmtId="37" fontId="13" fillId="0" borderId="0" xfId="281" applyNumberFormat="1" applyFont="1"/>
    <xf numFmtId="172" fontId="13" fillId="0" borderId="0" xfId="274" applyFont="1" applyAlignment="1"/>
    <xf numFmtId="0" fontId="10" fillId="0" borderId="34" xfId="281" applyFont="1" applyBorder="1" applyAlignment="1">
      <alignment horizontal="center" wrapText="1"/>
    </xf>
    <xf numFmtId="0" fontId="13" fillId="0" borderId="16" xfId="0" applyNumberFormat="1" applyFont="1" applyBorder="1" applyAlignment="1">
      <alignment horizontal="center"/>
    </xf>
    <xf numFmtId="0" fontId="13" fillId="0" borderId="42" xfId="281" applyFont="1" applyBorder="1" applyAlignment="1">
      <alignment horizontal="right"/>
    </xf>
    <xf numFmtId="0" fontId="13" fillId="0" borderId="39" xfId="0" applyNumberFormat="1" applyFont="1" applyBorder="1" applyAlignment="1">
      <alignment horizontal="center"/>
    </xf>
    <xf numFmtId="0" fontId="10" fillId="0" borderId="2" xfId="281" applyFont="1" applyBorder="1" applyAlignment="1">
      <alignment horizontal="centerContinuous" wrapText="1"/>
    </xf>
    <xf numFmtId="0" fontId="13" fillId="0" borderId="39" xfId="0" applyFont="1" applyBorder="1" applyAlignment="1"/>
    <xf numFmtId="0" fontId="13" fillId="0" borderId="2" xfId="0" applyFont="1" applyBorder="1" applyAlignment="1"/>
    <xf numFmtId="0" fontId="13" fillId="0" borderId="33" xfId="0" applyNumberFormat="1" applyFont="1" applyBorder="1" applyAlignment="1">
      <alignment horizontal="center" wrapText="1"/>
    </xf>
    <xf numFmtId="0" fontId="10" fillId="0" borderId="33" xfId="281" applyFont="1" applyBorder="1" applyAlignment="1">
      <alignment horizontal="center" wrapText="1"/>
    </xf>
    <xf numFmtId="0" fontId="10" fillId="0" borderId="33" xfId="281" applyFont="1" applyBorder="1" applyAlignment="1">
      <alignment horizontal="center"/>
    </xf>
    <xf numFmtId="0" fontId="13" fillId="0" borderId="0" xfId="281" quotePrefix="1" applyFont="1" applyBorder="1" applyAlignment="1">
      <alignment horizontal="left"/>
    </xf>
    <xf numFmtId="173" fontId="9" fillId="26" borderId="33" xfId="112" applyNumberFormat="1" applyFont="1" applyFill="1" applyBorder="1" applyAlignment="1" applyProtection="1">
      <protection locked="0"/>
    </xf>
    <xf numFmtId="0" fontId="13" fillId="0" borderId="0" xfId="281" applyFont="1" applyBorder="1"/>
    <xf numFmtId="0" fontId="13" fillId="0" borderId="11" xfId="281" applyFont="1" applyBorder="1"/>
    <xf numFmtId="173" fontId="9" fillId="26" borderId="40" xfId="112" applyNumberFormat="1" applyFont="1" applyFill="1" applyBorder="1" applyAlignment="1" applyProtection="1">
      <protection locked="0"/>
    </xf>
    <xf numFmtId="0" fontId="13" fillId="0" borderId="14" xfId="0" applyNumberFormat="1" applyFont="1" applyBorder="1" applyAlignment="1">
      <alignment horizontal="center"/>
    </xf>
    <xf numFmtId="173" fontId="13" fillId="0" borderId="43" xfId="88" applyNumberFormat="1" applyFont="1" applyBorder="1"/>
    <xf numFmtId="173" fontId="13" fillId="0" borderId="0" xfId="0" applyNumberFormat="1" applyFont="1" applyAlignment="1"/>
    <xf numFmtId="0" fontId="133" fillId="0" borderId="0" xfId="0" applyNumberFormat="1" applyFont="1" applyAlignment="1">
      <alignment horizontal="center"/>
    </xf>
    <xf numFmtId="0" fontId="18" fillId="0" borderId="0" xfId="220" applyFont="1" applyFill="1" applyBorder="1" applyAlignment="1">
      <alignment horizontal="left" vertical="center"/>
    </xf>
    <xf numFmtId="0" fontId="13" fillId="0" borderId="0" xfId="220" applyNumberFormat="1" applyFont="1" applyFill="1" applyBorder="1" applyAlignment="1">
      <alignment horizontal="center"/>
    </xf>
    <xf numFmtId="0" fontId="18" fillId="0" borderId="0" xfId="220" applyFont="1" applyBorder="1" applyAlignment="1">
      <alignment horizontal="center" vertical="center"/>
    </xf>
    <xf numFmtId="0" fontId="18" fillId="0" borderId="0" xfId="270" applyFont="1" applyAlignment="1">
      <alignment horizontal="center" vertical="center" wrapText="1"/>
    </xf>
    <xf numFmtId="0" fontId="18" fillId="0" borderId="0" xfId="220" quotePrefix="1" applyFont="1" applyBorder="1" applyAlignment="1">
      <alignment horizontal="center" vertical="center" wrapText="1"/>
    </xf>
    <xf numFmtId="0" fontId="18" fillId="0" borderId="0" xfId="220" applyFont="1" applyFill="1" applyBorder="1" applyAlignment="1">
      <alignment horizontal="left"/>
    </xf>
    <xf numFmtId="0" fontId="13" fillId="0" borderId="0" xfId="220" applyFont="1" applyFill="1" applyBorder="1" applyAlignment="1">
      <alignment horizontal="center"/>
    </xf>
    <xf numFmtId="3" fontId="13" fillId="0" borderId="0" xfId="220" applyNumberFormat="1" applyFont="1" applyFill="1" applyBorder="1" applyAlignment="1"/>
    <xf numFmtId="173" fontId="0" fillId="0" borderId="0" xfId="112" applyNumberFormat="1" applyFont="1" applyFill="1"/>
    <xf numFmtId="0" fontId="10" fillId="0" borderId="0" xfId="220" applyFont="1" applyFill="1" applyBorder="1" applyAlignment="1">
      <alignment horizontal="left"/>
    </xf>
    <xf numFmtId="0" fontId="13" fillId="0" borderId="0" xfId="220" applyFont="1" applyFill="1" applyBorder="1"/>
    <xf numFmtId="3" fontId="13" fillId="0" borderId="0" xfId="220" applyNumberFormat="1" applyFont="1" applyFill="1" applyBorder="1" applyAlignment="1">
      <alignment horizontal="right"/>
    </xf>
    <xf numFmtId="3" fontId="13" fillId="32" borderId="0" xfId="220" applyNumberFormat="1" applyFont="1" applyFill="1" applyBorder="1" applyAlignment="1"/>
    <xf numFmtId="0" fontId="13" fillId="0" borderId="0" xfId="220" applyFont="1" applyBorder="1"/>
    <xf numFmtId="0" fontId="13" fillId="30" borderId="0" xfId="220" applyFont="1" applyFill="1" applyBorder="1" applyProtection="1">
      <protection locked="0"/>
    </xf>
    <xf numFmtId="173" fontId="9"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3" fillId="0" borderId="0" xfId="220" applyNumberFormat="1" applyFont="1" applyFill="1" applyBorder="1"/>
    <xf numFmtId="0" fontId="82" fillId="0" borderId="0" xfId="220" applyNumberFormat="1" applyFont="1" applyFill="1" applyBorder="1" applyAlignment="1">
      <alignment horizontal="center"/>
    </xf>
    <xf numFmtId="0" fontId="13" fillId="0" borderId="0" xfId="270" applyFont="1" applyFill="1" applyAlignment="1">
      <alignment horizontal="left"/>
    </xf>
    <xf numFmtId="0" fontId="98" fillId="0" borderId="0" xfId="270" applyFont="1" applyFill="1" applyBorder="1"/>
    <xf numFmtId="0" fontId="18" fillId="0" borderId="0" xfId="270" applyFont="1" applyFill="1" applyAlignment="1">
      <alignment horizontal="center"/>
    </xf>
    <xf numFmtId="0" fontId="13" fillId="0" borderId="0" xfId="0" applyFont="1" applyFill="1" applyAlignment="1"/>
    <xf numFmtId="0" fontId="13" fillId="0" borderId="0" xfId="0" applyFont="1" applyFill="1" applyAlignment="1">
      <alignment horizontal="center"/>
    </xf>
    <xf numFmtId="173" fontId="9" fillId="30" borderId="0" xfId="89" applyNumberFormat="1" applyFont="1" applyFill="1" applyBorder="1" applyAlignment="1" applyProtection="1">
      <alignment horizontal="left"/>
      <protection locked="0"/>
    </xf>
    <xf numFmtId="0" fontId="9" fillId="30" borderId="0" xfId="89" applyNumberFormat="1" applyFont="1" applyFill="1" applyBorder="1" applyAlignment="1" applyProtection="1">
      <alignment horizontal="center"/>
      <protection locked="0"/>
    </xf>
    <xf numFmtId="173" fontId="64" fillId="0" borderId="0" xfId="112" applyNumberFormat="1" applyFont="1" applyFill="1" applyAlignment="1" applyProtection="1">
      <alignment horizontal="left"/>
      <protection locked="0"/>
    </xf>
    <xf numFmtId="0" fontId="13" fillId="0" borderId="0" xfId="0" applyFont="1" applyFill="1" applyBorder="1" applyAlignment="1">
      <alignment horizontal="center"/>
    </xf>
    <xf numFmtId="173" fontId="64"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3" fillId="0" borderId="0" xfId="0" applyFont="1" applyFill="1"/>
    <xf numFmtId="0" fontId="13" fillId="0" borderId="0" xfId="220" applyFont="1" applyFill="1" applyBorder="1" applyAlignment="1">
      <alignment horizontal="left"/>
    </xf>
    <xf numFmtId="43" fontId="6" fillId="0" borderId="6" xfId="277" applyNumberFormat="1" applyFont="1" applyFill="1" applyBorder="1" applyAlignment="1" applyProtection="1"/>
    <xf numFmtId="0" fontId="13" fillId="0" borderId="32" xfId="0" applyFont="1" applyBorder="1" applyAlignment="1"/>
    <xf numFmtId="173" fontId="9" fillId="30" borderId="34" xfId="89" applyNumberFormat="1" applyFont="1" applyFill="1" applyBorder="1" applyAlignment="1">
      <alignment horizontal="right"/>
    </xf>
    <xf numFmtId="0" fontId="13" fillId="0" borderId="0" xfId="174" applyNumberFormat="1" applyFont="1" applyAlignment="1">
      <alignment horizontal="center"/>
    </xf>
    <xf numFmtId="0" fontId="16" fillId="0" borderId="0" xfId="174" applyFont="1" applyAlignment="1"/>
    <xf numFmtId="0" fontId="16" fillId="0" borderId="0" xfId="174" applyNumberFormat="1" applyFont="1" applyAlignment="1">
      <alignment horizontal="center"/>
    </xf>
    <xf numFmtId="0" fontId="16" fillId="0" borderId="0" xfId="174" applyFont="1" applyAlignment="1">
      <alignment horizontal="right"/>
    </xf>
    <xf numFmtId="0" fontId="92" fillId="0" borderId="0" xfId="281" applyFont="1" applyAlignment="1">
      <alignment horizontal="centerContinuous"/>
    </xf>
    <xf numFmtId="0" fontId="16" fillId="0" borderId="0" xfId="281" applyFont="1" applyFill="1" applyAlignment="1">
      <alignment horizontal="left"/>
    </xf>
    <xf numFmtId="0" fontId="92" fillId="0" borderId="0" xfId="281" applyFont="1" applyAlignment="1">
      <alignment horizontal="center"/>
    </xf>
    <xf numFmtId="0" fontId="13" fillId="0" borderId="0" xfId="174" applyFont="1"/>
    <xf numFmtId="0" fontId="13" fillId="0" borderId="39" xfId="174" applyNumberFormat="1" applyFont="1" applyBorder="1" applyAlignment="1">
      <alignment horizontal="center" wrapText="1"/>
    </xf>
    <xf numFmtId="0" fontId="10" fillId="0" borderId="44" xfId="281" applyFont="1" applyBorder="1" applyAlignment="1">
      <alignment horizontal="center" wrapText="1"/>
    </xf>
    <xf numFmtId="0" fontId="16" fillId="0" borderId="0" xfId="174" applyFont="1" applyAlignment="1">
      <alignment wrapText="1"/>
    </xf>
    <xf numFmtId="0" fontId="13" fillId="0" borderId="33" xfId="174" applyNumberFormat="1" applyFont="1" applyBorder="1" applyAlignment="1">
      <alignment horizontal="center"/>
    </xf>
    <xf numFmtId="0" fontId="10" fillId="0" borderId="10" xfId="281" applyFont="1" applyBorder="1" applyAlignment="1">
      <alignment horizontal="center"/>
    </xf>
    <xf numFmtId="0" fontId="135" fillId="0" borderId="0" xfId="174" applyFont="1" applyAlignment="1"/>
    <xf numFmtId="3" fontId="25" fillId="0" borderId="40" xfId="220" applyNumberFormat="1" applyFont="1" applyFill="1" applyBorder="1" applyAlignment="1">
      <alignment horizontal="center" wrapText="1"/>
    </xf>
    <xf numFmtId="3" fontId="25" fillId="0" borderId="45" xfId="220" applyNumberFormat="1" applyFont="1" applyFill="1" applyBorder="1" applyAlignment="1">
      <alignment wrapText="1"/>
    </xf>
    <xf numFmtId="173" fontId="9" fillId="26" borderId="0" xfId="111" applyNumberFormat="1" applyFont="1" applyFill="1" applyAlignment="1" applyProtection="1">
      <protection locked="0"/>
    </xf>
    <xf numFmtId="41" fontId="13" fillId="0" borderId="10" xfId="281" applyNumberFormat="1" applyFont="1" applyFill="1" applyBorder="1"/>
    <xf numFmtId="0" fontId="13" fillId="0" borderId="40" xfId="174" applyNumberFormat="1" applyFont="1" applyBorder="1" applyAlignment="1">
      <alignment horizontal="center"/>
    </xf>
    <xf numFmtId="173" fontId="13" fillId="0" borderId="46" xfId="88" applyNumberFormat="1" applyFont="1" applyBorder="1"/>
    <xf numFmtId="3" fontId="25" fillId="0" borderId="45" xfId="220" applyNumberFormat="1" applyFont="1" applyFill="1" applyBorder="1" applyAlignment="1">
      <alignment horizontal="center" wrapText="1"/>
    </xf>
    <xf numFmtId="173" fontId="9" fillId="30" borderId="0" xfId="88" applyNumberFormat="1" applyFont="1" applyFill="1" applyBorder="1" applyProtection="1">
      <protection locked="0"/>
    </xf>
    <xf numFmtId="0" fontId="13" fillId="0" borderId="16" xfId="174" applyNumberFormat="1" applyFont="1" applyBorder="1" applyAlignment="1">
      <alignment horizontal="center"/>
    </xf>
    <xf numFmtId="0" fontId="16" fillId="0" borderId="0" xfId="281" applyFont="1"/>
    <xf numFmtId="37" fontId="16" fillId="0" borderId="0" xfId="281" applyNumberFormat="1" applyFont="1"/>
    <xf numFmtId="172" fontId="16" fillId="0" borderId="0" xfId="274" applyFont="1" applyAlignment="1"/>
    <xf numFmtId="0" fontId="13" fillId="0" borderId="0" xfId="271" applyFont="1" applyFill="1" applyAlignment="1" applyProtection="1">
      <alignment vertical="top"/>
    </xf>
    <xf numFmtId="0" fontId="13" fillId="0" borderId="0" xfId="174" applyFont="1" applyAlignment="1" applyProtection="1">
      <alignment vertical="top" wrapText="1"/>
    </xf>
    <xf numFmtId="0" fontId="135" fillId="0" borderId="0" xfId="174" applyNumberFormat="1" applyFont="1" applyAlignment="1">
      <alignment horizontal="center"/>
    </xf>
    <xf numFmtId="0" fontId="91" fillId="0" borderId="0" xfId="272" applyFont="1" applyFill="1" applyProtection="1"/>
    <xf numFmtId="0" fontId="92" fillId="0" borderId="0" xfId="174" applyFont="1" applyAlignment="1">
      <alignment horizontal="center"/>
    </xf>
    <xf numFmtId="0" fontId="92" fillId="0" borderId="0" xfId="174" quotePrefix="1" applyFont="1" applyAlignment="1">
      <alignment horizontal="center"/>
    </xf>
    <xf numFmtId="0" fontId="10" fillId="0" borderId="0" xfId="272" applyFont="1" applyFill="1" applyAlignment="1" applyProtection="1">
      <alignment horizontal="left"/>
    </xf>
    <xf numFmtId="173" fontId="13" fillId="0" borderId="0" xfId="88" applyNumberFormat="1" applyFont="1" applyFill="1" applyProtection="1"/>
    <xf numFmtId="0" fontId="13" fillId="0" borderId="0" xfId="272" applyFont="1" applyFill="1" applyProtection="1"/>
    <xf numFmtId="0" fontId="13" fillId="0" borderId="0" xfId="194"/>
    <xf numFmtId="0" fontId="13" fillId="0" borderId="0" xfId="272" applyFont="1" applyFill="1" applyAlignment="1" applyProtection="1">
      <alignment horizontal="left"/>
    </xf>
    <xf numFmtId="173" fontId="9" fillId="30" borderId="0" xfId="88" applyNumberFormat="1" applyFont="1" applyFill="1" applyProtection="1">
      <protection locked="0"/>
    </xf>
    <xf numFmtId="0" fontId="13" fillId="0" borderId="0" xfId="194" applyProtection="1"/>
    <xf numFmtId="10" fontId="13" fillId="0" borderId="0" xfId="290" applyNumberFormat="1" applyFont="1" applyFill="1" applyBorder="1" applyProtection="1"/>
    <xf numFmtId="173" fontId="9" fillId="26" borderId="6" xfId="88" applyNumberFormat="1" applyFont="1" applyFill="1" applyBorder="1" applyAlignment="1" applyProtection="1">
      <protection locked="0"/>
    </xf>
    <xf numFmtId="10" fontId="10" fillId="0" borderId="0" xfId="290" applyNumberFormat="1" applyFont="1" applyFill="1" applyBorder="1" applyProtection="1"/>
    <xf numFmtId="0" fontId="10" fillId="0" borderId="0" xfId="272" applyFont="1" applyFill="1" applyProtection="1"/>
    <xf numFmtId="173" fontId="10" fillId="0" borderId="0" xfId="290" applyNumberFormat="1" applyFont="1" applyFill="1" applyBorder="1" applyProtection="1"/>
    <xf numFmtId="173" fontId="13" fillId="0" borderId="0" xfId="290" applyNumberFormat="1" applyFont="1" applyFill="1" applyBorder="1" applyProtection="1"/>
    <xf numFmtId="10" fontId="10" fillId="0" borderId="18" xfId="290" applyNumberFormat="1" applyFont="1" applyFill="1" applyBorder="1" applyProtection="1"/>
    <xf numFmtId="0" fontId="101" fillId="0" borderId="0" xfId="194" applyFont="1" applyAlignment="1" applyProtection="1">
      <alignment horizontal="center"/>
    </xf>
    <xf numFmtId="0" fontId="13" fillId="0" borderId="0" xfId="277" applyNumberFormat="1" applyFont="1" applyFill="1" applyBorder="1" applyAlignment="1" applyProtection="1">
      <alignment horizontal="center" vertical="center"/>
    </xf>
    <xf numFmtId="0" fontId="136" fillId="0" borderId="0" xfId="194" applyFont="1" applyProtection="1"/>
    <xf numFmtId="0" fontId="13" fillId="0" borderId="0" xfId="277" applyNumberFormat="1" applyFont="1" applyFill="1" applyBorder="1" applyAlignment="1" applyProtection="1">
      <alignment horizontal="center" vertical="top"/>
    </xf>
    <xf numFmtId="0" fontId="64" fillId="0" borderId="0" xfId="194" applyFont="1" applyAlignment="1" applyProtection="1">
      <alignment vertical="top" wrapText="1"/>
    </xf>
    <xf numFmtId="0" fontId="10" fillId="0" borderId="0" xfId="277" applyNumberFormat="1" applyFont="1" applyFill="1" applyBorder="1" applyAlignment="1" applyProtection="1">
      <alignment horizontal="center" vertical="center"/>
    </xf>
    <xf numFmtId="0" fontId="23" fillId="0" borderId="0" xfId="194" applyFont="1" applyAlignment="1" applyProtection="1"/>
    <xf numFmtId="41" fontId="10" fillId="0" borderId="0" xfId="272" applyNumberFormat="1" applyFont="1" applyFill="1" applyBorder="1" applyAlignment="1" applyProtection="1">
      <alignment horizontal="center" wrapText="1"/>
    </xf>
    <xf numFmtId="0" fontId="10" fillId="0" borderId="0" xfId="272" applyFont="1" applyFill="1" applyAlignment="1" applyProtection="1">
      <alignment horizontal="center" wrapText="1"/>
    </xf>
    <xf numFmtId="0" fontId="9" fillId="26" borderId="0" xfId="272" applyFont="1" applyFill="1" applyProtection="1">
      <protection locked="0"/>
    </xf>
    <xf numFmtId="173" fontId="137" fillId="26" borderId="0" xfId="88" applyNumberFormat="1" applyFont="1" applyFill="1" applyProtection="1">
      <protection locked="0"/>
    </xf>
    <xf numFmtId="195" fontId="13" fillId="0" borderId="0" xfId="279" applyNumberFormat="1" applyFont="1" applyFill="1" applyAlignment="1" applyProtection="1">
      <alignment horizontal="center"/>
      <protection locked="0"/>
    </xf>
    <xf numFmtId="37" fontId="9" fillId="26" borderId="0" xfId="272" applyNumberFormat="1" applyFont="1" applyFill="1" applyProtection="1">
      <protection locked="0"/>
    </xf>
    <xf numFmtId="0" fontId="137" fillId="26" borderId="0" xfId="272" applyFont="1" applyFill="1" applyProtection="1">
      <protection locked="0"/>
    </xf>
    <xf numFmtId="196" fontId="13" fillId="0" borderId="0" xfId="279" applyNumberFormat="1" applyFill="1" applyAlignment="1" applyProtection="1">
      <alignment horizontal="center"/>
      <protection locked="0"/>
    </xf>
    <xf numFmtId="14" fontId="13" fillId="0" borderId="0" xfId="279" applyNumberFormat="1" applyFill="1" applyAlignment="1" applyProtection="1">
      <alignment horizontal="center"/>
      <protection locked="0"/>
    </xf>
    <xf numFmtId="0" fontId="13" fillId="0" borderId="0" xfId="194" applyFont="1" applyProtection="1"/>
    <xf numFmtId="0" fontId="13" fillId="0" borderId="11" xfId="194" applyFont="1" applyBorder="1" applyProtection="1"/>
    <xf numFmtId="0" fontId="16" fillId="0" borderId="11" xfId="272" applyFont="1" applyFill="1" applyBorder="1" applyProtection="1"/>
    <xf numFmtId="0" fontId="13" fillId="0" borderId="0" xfId="194" applyFill="1"/>
    <xf numFmtId="0" fontId="10" fillId="0" borderId="2" xfId="272" applyFont="1" applyFill="1" applyBorder="1" applyAlignment="1" applyProtection="1">
      <alignment horizontal="left"/>
    </xf>
    <xf numFmtId="173" fontId="13" fillId="0" borderId="2" xfId="290" applyNumberFormat="1" applyFont="1" applyFill="1" applyBorder="1" applyProtection="1"/>
    <xf numFmtId="173" fontId="10" fillId="0" borderId="0" xfId="88" applyNumberFormat="1" applyFont="1" applyFill="1" applyBorder="1" applyProtection="1"/>
    <xf numFmtId="0" fontId="91" fillId="0" borderId="0" xfId="272" applyFont="1" applyFill="1" applyAlignment="1" applyProtection="1">
      <alignment horizontal="left"/>
    </xf>
    <xf numFmtId="0" fontId="13" fillId="0" borderId="0" xfId="277" applyNumberFormat="1" applyFont="1" applyFill="1" applyBorder="1" applyAlignment="1" applyProtection="1">
      <alignment horizontal="center" wrapText="1"/>
    </xf>
    <xf numFmtId="173" fontId="16" fillId="0" borderId="0" xfId="174" applyNumberFormat="1" applyFont="1" applyAlignment="1"/>
    <xf numFmtId="0" fontId="13" fillId="0" borderId="0" xfId="272" applyFont="1" applyFill="1" applyBorder="1" applyProtection="1"/>
    <xf numFmtId="0" fontId="16" fillId="0" borderId="2" xfId="174" applyNumberFormat="1" applyFont="1" applyBorder="1" applyAlignment="1"/>
    <xf numFmtId="0" fontId="33" fillId="0" borderId="0" xfId="0" applyFont="1" applyFill="1" applyAlignment="1" applyProtection="1">
      <alignment horizontal="center"/>
    </xf>
    <xf numFmtId="168" fontId="6" fillId="0" borderId="0" xfId="277" applyNumberFormat="1" applyFont="1" applyFill="1" applyAlignment="1" applyProtection="1"/>
    <xf numFmtId="187" fontId="6" fillId="0" borderId="0" xfId="277" applyNumberFormat="1" applyFont="1" applyFill="1" applyAlignment="1" applyProtection="1">
      <alignment horizontal="center"/>
    </xf>
    <xf numFmtId="41" fontId="6" fillId="0" borderId="11" xfId="277" applyNumberFormat="1" applyFont="1" applyFill="1" applyBorder="1" applyAlignment="1" applyProtection="1"/>
    <xf numFmtId="0" fontId="6" fillId="0" borderId="0" xfId="174" applyFont="1" applyFill="1" applyAlignment="1" applyProtection="1">
      <alignment horizontal="center"/>
    </xf>
    <xf numFmtId="0" fontId="64" fillId="0" borderId="0" xfId="174" applyFont="1" applyFill="1" applyProtection="1"/>
    <xf numFmtId="0" fontId="6" fillId="0" borderId="0" xfId="174" applyFont="1" applyFill="1" applyProtection="1"/>
    <xf numFmtId="0" fontId="13" fillId="0" borderId="0" xfId="174" applyFont="1" applyFill="1" applyProtection="1"/>
    <xf numFmtId="173" fontId="6" fillId="32" borderId="0" xfId="86" applyNumberFormat="1" applyFont="1" applyFill="1" applyAlignment="1" applyProtection="1">
      <alignment horizontal="right"/>
    </xf>
    <xf numFmtId="178" fontId="6" fillId="0" borderId="0" xfId="277" applyNumberFormat="1" applyFont="1" applyFill="1" applyAlignment="1" applyProtection="1">
      <alignment horizontal="center"/>
    </xf>
    <xf numFmtId="0" fontId="64" fillId="0" borderId="0" xfId="270" applyFont="1" applyFill="1" applyAlignment="1">
      <alignment horizontal="center"/>
    </xf>
    <xf numFmtId="37" fontId="13" fillId="0" borderId="0" xfId="174" applyNumberFormat="1" applyFont="1"/>
    <xf numFmtId="0" fontId="10" fillId="0" borderId="0" xfId="270" applyFont="1" applyFill="1" applyBorder="1"/>
    <xf numFmtId="0" fontId="13" fillId="0" borderId="0" xfId="174" applyFont="1" applyFill="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horizontal="center"/>
    </xf>
    <xf numFmtId="0" fontId="10" fillId="0" borderId="0" xfId="283" applyFont="1" applyFill="1" applyProtection="1"/>
    <xf numFmtId="0" fontId="13" fillId="0" borderId="0" xfId="283" applyFont="1" applyFill="1" applyProtection="1"/>
    <xf numFmtId="0" fontId="13" fillId="0" borderId="0" xfId="0" applyFont="1" applyFill="1" applyAlignment="1" applyProtection="1">
      <alignment vertical="top"/>
    </xf>
    <xf numFmtId="41" fontId="20" fillId="0" borderId="0" xfId="270" applyNumberFormat="1" applyFont="1" applyFill="1" applyBorder="1" applyProtection="1">
      <protection locked="0"/>
    </xf>
    <xf numFmtId="0" fontId="7" fillId="0" borderId="0" xfId="270" applyFont="1" applyFill="1" applyBorder="1"/>
    <xf numFmtId="0" fontId="19" fillId="0" borderId="0" xfId="278" applyNumberFormat="1" applyFont="1" applyFill="1" applyAlignment="1">
      <alignment horizontal="center"/>
    </xf>
    <xf numFmtId="0" fontId="19" fillId="0" borderId="0" xfId="278" applyNumberFormat="1" applyFont="1" applyFill="1"/>
    <xf numFmtId="0" fontId="74" fillId="0" borderId="0" xfId="278" applyFont="1" applyFill="1" applyAlignment="1">
      <alignment wrapText="1"/>
    </xf>
    <xf numFmtId="0" fontId="7" fillId="0" borderId="0" xfId="271" applyFont="1" applyFill="1" applyAlignment="1">
      <alignment horizontal="center"/>
    </xf>
    <xf numFmtId="0" fontId="7" fillId="0" borderId="0" xfId="271" applyFont="1" applyFill="1" applyBorder="1" applyAlignment="1">
      <alignment horizontal="center"/>
    </xf>
    <xf numFmtId="0" fontId="7" fillId="0" borderId="0" xfId="271" quotePrefix="1" applyFont="1" applyFill="1" applyBorder="1" applyAlignment="1">
      <alignment horizontal="center"/>
    </xf>
    <xf numFmtId="0" fontId="7" fillId="0" borderId="0" xfId="271" applyFont="1" applyFill="1" applyAlignment="1">
      <alignment horizontal="left" vertical="center" wrapText="1"/>
    </xf>
    <xf numFmtId="0" fontId="7" fillId="0" borderId="0" xfId="271" applyFont="1" applyFill="1" applyAlignment="1">
      <alignment horizontal="center" vertical="center" wrapText="1"/>
    </xf>
    <xf numFmtId="0" fontId="7" fillId="0" borderId="0" xfId="271" applyFont="1" applyFill="1" applyBorder="1" applyAlignment="1">
      <alignment horizontal="center" vertical="center" wrapText="1"/>
    </xf>
    <xf numFmtId="0" fontId="7" fillId="0" borderId="0" xfId="271" quotePrefix="1" applyFont="1" applyFill="1" applyBorder="1" applyAlignment="1">
      <alignment horizontal="center" vertical="center" wrapText="1"/>
    </xf>
    <xf numFmtId="0" fontId="13" fillId="0" borderId="0" xfId="278" applyNumberFormat="1" applyFont="1" applyFill="1" applyAlignment="1">
      <alignment horizontal="center"/>
    </xf>
    <xf numFmtId="184" fontId="13" fillId="0" borderId="0" xfId="278" applyNumberFormat="1" applyFont="1" applyFill="1"/>
    <xf numFmtId="0" fontId="13" fillId="0" borderId="0" xfId="273" applyFont="1" applyFill="1" applyAlignment="1" applyProtection="1">
      <alignment horizontal="left"/>
    </xf>
    <xf numFmtId="0" fontId="13" fillId="0" borderId="0" xfId="194" applyFont="1" applyFill="1" applyProtection="1"/>
    <xf numFmtId="0" fontId="6" fillId="32" borderId="0" xfId="277" applyNumberFormat="1" applyFont="1" applyFill="1" applyAlignment="1" applyProtection="1">
      <alignment vertical="top" wrapText="1"/>
    </xf>
    <xf numFmtId="0" fontId="139" fillId="0" borderId="0" xfId="0" applyFont="1" applyAlignment="1">
      <alignment vertical="center"/>
    </xf>
    <xf numFmtId="0" fontId="140" fillId="0" borderId="0" xfId="220" applyFont="1" applyProtection="1"/>
    <xf numFmtId="0" fontId="141" fillId="0" borderId="0" xfId="220" applyFont="1" applyBorder="1" applyAlignment="1" applyProtection="1">
      <alignment horizontal="center"/>
    </xf>
    <xf numFmtId="3" fontId="142" fillId="0" borderId="0" xfId="220" applyNumberFormat="1" applyFont="1" applyAlignment="1" applyProtection="1">
      <alignment horizontal="center"/>
    </xf>
    <xf numFmtId="0" fontId="140" fillId="0" borderId="0" xfId="0" applyFont="1" applyAlignment="1" applyProtection="1"/>
    <xf numFmtId="0" fontId="143" fillId="0" borderId="0" xfId="220" applyFont="1" applyProtection="1"/>
    <xf numFmtId="0" fontId="142" fillId="0" borderId="0" xfId="220" applyFont="1" applyAlignment="1" applyProtection="1">
      <alignment horizontal="center"/>
    </xf>
    <xf numFmtId="0" fontId="141" fillId="0" borderId="0" xfId="219" applyFont="1" applyFill="1" applyProtection="1"/>
    <xf numFmtId="0" fontId="142" fillId="0" borderId="0" xfId="220" applyFont="1" applyFill="1" applyBorder="1" applyAlignment="1" applyProtection="1">
      <alignment horizontal="center"/>
    </xf>
    <xf numFmtId="0" fontId="141" fillId="0" borderId="0" xfId="220" applyFont="1" applyProtection="1"/>
    <xf numFmtId="0" fontId="144" fillId="0" borderId="0" xfId="220" applyFont="1" applyBorder="1" applyAlignment="1" applyProtection="1">
      <alignment horizontal="left"/>
    </xf>
    <xf numFmtId="0" fontId="141" fillId="0" borderId="0" xfId="220" applyFont="1" applyBorder="1" applyAlignment="1" applyProtection="1"/>
    <xf numFmtId="0" fontId="141" fillId="0" borderId="0" xfId="220" applyFont="1" applyBorder="1" applyProtection="1"/>
    <xf numFmtId="0" fontId="144" fillId="0" borderId="0" xfId="220" applyFont="1" applyFill="1" applyBorder="1" applyProtection="1"/>
    <xf numFmtId="3" fontId="141" fillId="0" borderId="0" xfId="220" applyNumberFormat="1" applyFont="1" applyFill="1" applyBorder="1" applyAlignment="1" applyProtection="1"/>
    <xf numFmtId="1" fontId="145" fillId="0" borderId="0" xfId="220" applyNumberFormat="1" applyFont="1" applyFill="1" applyBorder="1" applyAlignment="1" applyProtection="1">
      <alignment horizontal="center"/>
    </xf>
    <xf numFmtId="172" fontId="141" fillId="0" borderId="0" xfId="276" applyFont="1" applyBorder="1" applyAlignment="1" applyProtection="1"/>
    <xf numFmtId="6" fontId="140" fillId="0" borderId="0" xfId="220" applyNumberFormat="1" applyFont="1" applyProtection="1"/>
    <xf numFmtId="170" fontId="141" fillId="0" borderId="0" xfId="276" applyNumberFormat="1" applyFont="1" applyFill="1" applyBorder="1" applyAlignment="1" applyProtection="1">
      <alignment horizontal="right"/>
    </xf>
    <xf numFmtId="170" fontId="141" fillId="0" borderId="0" xfId="276" applyNumberFormat="1" applyFont="1" applyBorder="1" applyAlignment="1" applyProtection="1">
      <alignment horizontal="right"/>
    </xf>
    <xf numFmtId="171" fontId="141" fillId="0" borderId="0" xfId="276" applyNumberFormat="1" applyFont="1" applyFill="1" applyBorder="1" applyAlignment="1" applyProtection="1"/>
    <xf numFmtId="0" fontId="146" fillId="0" borderId="0" xfId="220" applyFont="1" applyProtection="1"/>
    <xf numFmtId="3" fontId="145" fillId="30" borderId="0" xfId="114" applyNumberFormat="1" applyFont="1" applyFill="1" applyBorder="1" applyAlignment="1" applyProtection="1">
      <alignment horizontal="right"/>
      <protection locked="0"/>
    </xf>
    <xf numFmtId="170" fontId="141" fillId="0" borderId="0" xfId="276" applyNumberFormat="1" applyFont="1" applyBorder="1" applyAlignment="1" applyProtection="1"/>
    <xf numFmtId="0" fontId="141" fillId="0" borderId="0" xfId="0" applyFont="1" applyBorder="1" applyAlignment="1" applyProtection="1"/>
    <xf numFmtId="170" fontId="145" fillId="30" borderId="0" xfId="0" applyNumberFormat="1" applyFont="1" applyFill="1" applyBorder="1" applyAlignment="1" applyProtection="1">
      <alignment horizontal="right"/>
      <protection locked="0"/>
    </xf>
    <xf numFmtId="172" fontId="141" fillId="0" borderId="0" xfId="276" applyFont="1" applyFill="1" applyBorder="1" applyAlignment="1" applyProtection="1"/>
    <xf numFmtId="0" fontId="141" fillId="0" borderId="6" xfId="220" applyFont="1" applyBorder="1" applyAlignment="1" applyProtection="1">
      <alignment horizontal="center"/>
    </xf>
    <xf numFmtId="0" fontId="141" fillId="0" borderId="6" xfId="0" applyFont="1" applyBorder="1" applyAlignment="1" applyProtection="1"/>
    <xf numFmtId="172" fontId="141" fillId="0" borderId="6" xfId="276" applyFont="1" applyBorder="1" applyAlignment="1" applyProtection="1"/>
    <xf numFmtId="170" fontId="145" fillId="30" borderId="6" xfId="0" applyNumberFormat="1" applyFont="1" applyFill="1" applyBorder="1" applyAlignment="1" applyProtection="1">
      <alignment horizontal="right"/>
      <protection locked="0"/>
    </xf>
    <xf numFmtId="170" fontId="141" fillId="0" borderId="0" xfId="0" applyNumberFormat="1" applyFont="1" applyBorder="1" applyAlignment="1" applyProtection="1"/>
    <xf numFmtId="170" fontId="141" fillId="0" borderId="0" xfId="220" applyNumberFormat="1" applyFont="1" applyBorder="1" applyProtection="1"/>
    <xf numFmtId="0" fontId="140" fillId="0" borderId="0" xfId="220" applyFont="1" applyBorder="1" applyProtection="1"/>
    <xf numFmtId="0" fontId="6" fillId="0" borderId="0" xfId="277" applyNumberFormat="1" applyFont="1" applyFill="1" applyAlignment="1" applyProtection="1">
      <alignment horizontal="left" indent="2"/>
    </xf>
    <xf numFmtId="173" fontId="9" fillId="30" borderId="0" xfId="112" applyNumberFormat="1" applyFont="1" applyFill="1" applyAlignment="1" applyProtection="1">
      <protection locked="0"/>
    </xf>
    <xf numFmtId="173" fontId="9" fillId="30" borderId="33" xfId="112" applyNumberFormat="1" applyFont="1" applyFill="1" applyBorder="1" applyAlignment="1" applyProtection="1">
      <protection locked="0"/>
    </xf>
    <xf numFmtId="0" fontId="6" fillId="30" borderId="0" xfId="0" applyNumberFormat="1" applyFont="1" applyFill="1" applyAlignment="1" applyProtection="1">
      <alignment horizontal="center"/>
      <protection locked="0"/>
    </xf>
    <xf numFmtId="0" fontId="156" fillId="30" borderId="0" xfId="0" applyFont="1" applyFill="1" applyAlignment="1" applyProtection="1">
      <alignment horizontal="left" vertical="top"/>
      <protection locked="0"/>
    </xf>
    <xf numFmtId="0" fontId="13" fillId="34" borderId="30" xfId="0" applyNumberFormat="1" applyFont="1" applyFill="1" applyBorder="1" applyAlignment="1" applyProtection="1">
      <alignment horizontal="center"/>
    </xf>
    <xf numFmtId="0" fontId="13" fillId="0" borderId="30" xfId="0" applyNumberFormat="1" applyFont="1" applyFill="1" applyBorder="1" applyAlignment="1" applyProtection="1">
      <alignment horizontal="center"/>
    </xf>
    <xf numFmtId="173" fontId="153" fillId="30" borderId="20" xfId="11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9" fillId="30" borderId="20" xfId="116" applyNumberFormat="1" applyFont="1" applyFill="1" applyBorder="1" applyAlignment="1" applyProtection="1">
      <alignment horizontal="right"/>
      <protection locked="0"/>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0" fontId="123" fillId="0" borderId="0" xfId="0" applyNumberFormat="1" applyFont="1" applyFill="1" applyAlignment="1" applyProtection="1">
      <alignment horizontal="center"/>
    </xf>
    <xf numFmtId="177" fontId="7" fillId="0" borderId="0" xfId="277" applyNumberFormat="1" applyFont="1" applyFill="1" applyAlignment="1" applyProtection="1"/>
    <xf numFmtId="0" fontId="123" fillId="0" borderId="0" xfId="0" applyFont="1" applyFill="1" applyAlignment="1" applyProtection="1">
      <alignment wrapText="1"/>
    </xf>
    <xf numFmtId="41" fontId="6" fillId="0" borderId="11" xfId="277" applyNumberFormat="1" applyFont="1" applyBorder="1" applyAlignment="1" applyProtection="1"/>
    <xf numFmtId="0" fontId="107" fillId="0" borderId="39" xfId="280" applyFont="1" applyBorder="1" applyProtection="1"/>
    <xf numFmtId="0" fontId="83" fillId="0" borderId="2" xfId="280" applyFont="1" applyBorder="1" applyAlignment="1" applyProtection="1">
      <alignment horizontal="center"/>
    </xf>
    <xf numFmtId="0" fontId="83" fillId="0" borderId="32" xfId="280" applyFont="1" applyBorder="1" applyAlignment="1" applyProtection="1">
      <alignment horizontal="center"/>
    </xf>
    <xf numFmtId="3" fontId="4" fillId="0" borderId="34" xfId="280" applyNumberFormat="1" applyBorder="1" applyProtection="1"/>
    <xf numFmtId="3" fontId="4" fillId="0" borderId="0" xfId="280" applyNumberFormat="1" applyFill="1" applyBorder="1" applyProtection="1"/>
    <xf numFmtId="0" fontId="4" fillId="0" borderId="40" xfId="280" applyFont="1" applyBorder="1" applyProtection="1"/>
    <xf numFmtId="10" fontId="4" fillId="0" borderId="11" xfId="302" applyNumberFormat="1" applyFont="1" applyBorder="1" applyAlignment="1" applyProtection="1">
      <alignment horizontal="center"/>
    </xf>
    <xf numFmtId="10" fontId="78" fillId="0" borderId="35" xfId="302" applyNumberFormat="1" applyFont="1" applyBorder="1" applyAlignment="1" applyProtection="1">
      <alignment horizontal="center"/>
    </xf>
    <xf numFmtId="0" fontId="13" fillId="32" borderId="30" xfId="0" applyNumberFormat="1" applyFont="1" applyFill="1" applyBorder="1" applyAlignment="1" applyProtection="1">
      <alignment horizontal="center"/>
    </xf>
    <xf numFmtId="41" fontId="9" fillId="30" borderId="0" xfId="270" applyNumberFormat="1" applyFont="1" applyFill="1" applyProtection="1">
      <protection locked="0"/>
    </xf>
    <xf numFmtId="10" fontId="6" fillId="0" borderId="0" xfId="290" applyNumberFormat="1" applyFont="1" applyFill="1" applyAlignment="1" applyProtection="1"/>
    <xf numFmtId="0" fontId="6" fillId="0" borderId="0" xfId="0" applyFont="1" applyFill="1" applyAlignment="1" applyProtection="1">
      <alignment horizontal="center"/>
    </xf>
    <xf numFmtId="0" fontId="9" fillId="30" borderId="22" xfId="0" applyFont="1" applyFill="1" applyBorder="1" applyAlignment="1" applyProtection="1">
      <alignment horizontal="right"/>
      <protection locked="0"/>
    </xf>
    <xf numFmtId="173" fontId="13" fillId="32" borderId="0" xfId="0" applyNumberFormat="1" applyFont="1" applyFill="1" applyBorder="1" applyProtection="1"/>
    <xf numFmtId="171" fontId="141" fillId="34" borderId="0" xfId="276" applyNumberFormat="1" applyFont="1" applyFill="1" applyBorder="1" applyAlignment="1" applyProtection="1">
      <protection locked="0"/>
    </xf>
    <xf numFmtId="0" fontId="64" fillId="26" borderId="0" xfId="174" applyFont="1" applyFill="1" applyAlignment="1" applyProtection="1">
      <alignment horizontal="left"/>
      <protection locked="0"/>
    </xf>
    <xf numFmtId="0" fontId="126" fillId="26" borderId="0" xfId="174" applyFont="1" applyFill="1" applyProtection="1">
      <protection locked="0"/>
    </xf>
    <xf numFmtId="37" fontId="9" fillId="26" borderId="0" xfId="174" applyNumberFormat="1" applyFont="1" applyFill="1" applyProtection="1">
      <protection locked="0"/>
    </xf>
    <xf numFmtId="173" fontId="13" fillId="0" borderId="0" xfId="88" applyNumberFormat="1" applyProtection="1"/>
    <xf numFmtId="173" fontId="13" fillId="0" borderId="0" xfId="88" applyNumberFormat="1" applyFill="1" applyProtection="1"/>
    <xf numFmtId="3" fontId="126" fillId="26" borderId="0" xfId="174" applyNumberFormat="1" applyFont="1" applyFill="1" applyProtection="1">
      <protection locked="0"/>
    </xf>
    <xf numFmtId="0" fontId="0" fillId="32" borderId="0" xfId="0" applyFill="1" applyProtection="1"/>
    <xf numFmtId="10" fontId="6" fillId="32" borderId="0" xfId="277" applyNumberFormat="1" applyFont="1" applyFill="1" applyAlignment="1" applyProtection="1"/>
    <xf numFmtId="0" fontId="79" fillId="30" borderId="0" xfId="86" applyNumberFormat="1" applyFont="1" applyFill="1" applyBorder="1" applyProtection="1">
      <protection locked="0"/>
    </xf>
    <xf numFmtId="0" fontId="13" fillId="0" borderId="0" xfId="86" applyNumberFormat="1" applyFont="1"/>
    <xf numFmtId="0" fontId="19" fillId="0" borderId="0" xfId="278" applyFont="1" applyAlignment="1">
      <alignment horizontal="center"/>
    </xf>
    <xf numFmtId="10" fontId="79" fillId="30" borderId="0" xfId="289" applyNumberFormat="1" applyFont="1" applyFill="1" applyBorder="1" applyProtection="1">
      <protection locked="0"/>
    </xf>
    <xf numFmtId="0" fontId="25" fillId="0" borderId="0" xfId="223" applyFont="1"/>
    <xf numFmtId="0" fontId="25" fillId="0" borderId="0" xfId="223" applyFont="1" applyAlignment="1">
      <alignment horizontal="center"/>
    </xf>
    <xf numFmtId="0" fontId="13" fillId="0" borderId="0" xfId="223" applyFont="1" applyAlignment="1">
      <alignment horizontal="right"/>
    </xf>
    <xf numFmtId="14" fontId="25" fillId="0" borderId="0" xfId="223" applyNumberFormat="1" applyFont="1"/>
    <xf numFmtId="0" fontId="25" fillId="0" borderId="0" xfId="174" applyFont="1"/>
    <xf numFmtId="9" fontId="25" fillId="0" borderId="0" xfId="289" applyFont="1"/>
    <xf numFmtId="41" fontId="25" fillId="0" borderId="0" xfId="223" applyNumberFormat="1" applyFont="1"/>
    <xf numFmtId="10" fontId="25" fillId="0" borderId="0" xfId="291" applyNumberFormat="1" applyFont="1"/>
    <xf numFmtId="0" fontId="25" fillId="0" borderId="0" xfId="0" applyFont="1" applyAlignment="1"/>
    <xf numFmtId="0" fontId="26" fillId="0" borderId="0" xfId="223" applyFont="1" applyAlignment="1">
      <alignment horizontal="center"/>
    </xf>
    <xf numFmtId="0" fontId="26" fillId="0" borderId="0" xfId="223" applyFont="1" applyBorder="1" applyAlignment="1">
      <alignment horizontal="center" wrapText="1"/>
    </xf>
    <xf numFmtId="0" fontId="26" fillId="0" borderId="0" xfId="223" applyFont="1" applyFill="1" applyBorder="1" applyAlignment="1">
      <alignment horizontal="center" wrapText="1"/>
    </xf>
    <xf numFmtId="0" fontId="26" fillId="0" borderId="0" xfId="223" applyFont="1" applyAlignment="1">
      <alignment horizontal="left"/>
    </xf>
    <xf numFmtId="0" fontId="25" fillId="35" borderId="0" xfId="223" applyFont="1" applyFill="1"/>
    <xf numFmtId="49" fontId="25" fillId="0" borderId="0" xfId="223" applyNumberFormat="1" applyFont="1" applyFill="1" applyAlignment="1">
      <alignment horizontal="center"/>
    </xf>
    <xf numFmtId="0" fontId="25" fillId="0" borderId="0" xfId="223" applyFont="1" applyBorder="1"/>
    <xf numFmtId="0" fontId="25" fillId="0" borderId="0" xfId="223" applyFont="1" applyFill="1" applyBorder="1" applyAlignment="1">
      <alignment horizontal="center"/>
    </xf>
    <xf numFmtId="41" fontId="25" fillId="30" borderId="12" xfId="271" applyNumberFormat="1" applyFont="1" applyFill="1" applyBorder="1" applyProtection="1">
      <protection locked="0"/>
    </xf>
    <xf numFmtId="173" fontId="25" fillId="36" borderId="12" xfId="117" applyNumberFormat="1" applyFont="1" applyFill="1" applyBorder="1"/>
    <xf numFmtId="173" fontId="25" fillId="0" borderId="47" xfId="117" applyNumberFormat="1" applyFont="1" applyFill="1" applyBorder="1"/>
    <xf numFmtId="173" fontId="25" fillId="0" borderId="12" xfId="117" applyNumberFormat="1" applyFont="1" applyFill="1" applyBorder="1"/>
    <xf numFmtId="41" fontId="25" fillId="30" borderId="0" xfId="271" applyNumberFormat="1" applyFont="1" applyFill="1" applyBorder="1" applyProtection="1">
      <protection locked="0"/>
    </xf>
    <xf numFmtId="41" fontId="25" fillId="0" borderId="0" xfId="223" applyNumberFormat="1" applyFont="1" applyBorder="1" applyAlignment="1">
      <alignment horizontal="center"/>
    </xf>
    <xf numFmtId="0" fontId="26" fillId="0" borderId="0" xfId="223" applyFont="1" applyBorder="1"/>
    <xf numFmtId="173" fontId="25" fillId="36" borderId="47" xfId="117" applyNumberFormat="1" applyFont="1" applyFill="1" applyBorder="1"/>
    <xf numFmtId="41" fontId="25" fillId="0" borderId="12" xfId="174" applyNumberFormat="1" applyFont="1" applyFill="1" applyBorder="1"/>
    <xf numFmtId="173" fontId="25" fillId="0" borderId="0" xfId="86" applyNumberFormat="1" applyFont="1" applyBorder="1" applyAlignment="1">
      <alignment horizontal="center"/>
    </xf>
    <xf numFmtId="49" fontId="25" fillId="0" borderId="0" xfId="223" applyNumberFormat="1" applyFont="1" applyAlignment="1">
      <alignment horizontal="center"/>
    </xf>
    <xf numFmtId="41" fontId="25" fillId="30" borderId="33" xfId="271" applyNumberFormat="1" applyFont="1" applyFill="1" applyBorder="1" applyAlignment="1" applyProtection="1">
      <alignment vertical="top"/>
      <protection locked="0"/>
    </xf>
    <xf numFmtId="0" fontId="26" fillId="0" borderId="0" xfId="223" applyFont="1"/>
    <xf numFmtId="0" fontId="0" fillId="0" borderId="0" xfId="0" applyFont="1"/>
    <xf numFmtId="0" fontId="25" fillId="0" borderId="0" xfId="174" applyFont="1" applyFill="1"/>
    <xf numFmtId="0" fontId="25" fillId="0" borderId="0" xfId="174" applyFont="1" applyFill="1" applyBorder="1"/>
    <xf numFmtId="0" fontId="25" fillId="0" borderId="0" xfId="223" applyFont="1" applyFill="1" applyAlignment="1">
      <alignment horizontal="center"/>
    </xf>
    <xf numFmtId="0" fontId="25" fillId="0" borderId="0" xfId="223" applyFont="1" applyAlignment="1">
      <alignment wrapText="1"/>
    </xf>
    <xf numFmtId="173" fontId="25" fillId="36" borderId="0" xfId="117" applyNumberFormat="1" applyFont="1" applyFill="1" applyBorder="1"/>
    <xf numFmtId="41" fontId="25" fillId="30" borderId="48" xfId="271" applyNumberFormat="1" applyFont="1" applyFill="1" applyBorder="1" applyProtection="1">
      <protection locked="0"/>
    </xf>
    <xf numFmtId="173" fontId="25" fillId="0" borderId="0" xfId="117" applyNumberFormat="1" applyFont="1" applyFill="1" applyBorder="1"/>
    <xf numFmtId="173" fontId="25" fillId="0" borderId="0" xfId="117" applyNumberFormat="1" applyFont="1" applyBorder="1" applyAlignment="1">
      <alignment wrapText="1"/>
    </xf>
    <xf numFmtId="0" fontId="25" fillId="0" borderId="0" xfId="223" applyFont="1" applyAlignment="1">
      <alignment horizontal="left"/>
    </xf>
    <xf numFmtId="1" fontId="25" fillId="0" borderId="14" xfId="86" applyNumberFormat="1" applyFont="1" applyBorder="1" applyAlignment="1"/>
    <xf numFmtId="173" fontId="25" fillId="0" borderId="14" xfId="86" applyNumberFormat="1" applyFont="1" applyBorder="1" applyAlignment="1"/>
    <xf numFmtId="176" fontId="25" fillId="0" borderId="14" xfId="86" applyNumberFormat="1" applyFont="1" applyBorder="1" applyAlignment="1"/>
    <xf numFmtId="173" fontId="25" fillId="0" borderId="0" xfId="117" applyNumberFormat="1" applyFont="1" applyAlignment="1">
      <alignment wrapText="1"/>
    </xf>
    <xf numFmtId="1" fontId="25" fillId="0" borderId="0" xfId="86" applyNumberFormat="1" applyFont="1" applyBorder="1" applyAlignment="1"/>
    <xf numFmtId="176" fontId="25" fillId="0" borderId="0" xfId="86" applyNumberFormat="1" applyFont="1" applyBorder="1" applyAlignment="1"/>
    <xf numFmtId="173" fontId="25" fillId="0" borderId="1" xfId="86" applyNumberFormat="1" applyFont="1" applyBorder="1" applyAlignment="1">
      <alignment horizontal="center"/>
    </xf>
    <xf numFmtId="173" fontId="25" fillId="0" borderId="0" xfId="86" applyNumberFormat="1" applyFont="1" applyBorder="1" applyAlignment="1"/>
    <xf numFmtId="0" fontId="25" fillId="0" borderId="0" xfId="223" applyFont="1" applyAlignment="1">
      <alignment horizontal="left" vertical="center"/>
    </xf>
    <xf numFmtId="0" fontId="25" fillId="0" borderId="0" xfId="223" applyFont="1" applyAlignment="1">
      <alignment vertical="top" wrapText="1"/>
    </xf>
    <xf numFmtId="0" fontId="25" fillId="0" borderId="0" xfId="223" applyFont="1" applyAlignment="1"/>
    <xf numFmtId="173" fontId="25" fillId="0" borderId="0" xfId="223" applyNumberFormat="1" applyFont="1"/>
    <xf numFmtId="0" fontId="25" fillId="0" borderId="0" xfId="223" applyFont="1" applyFill="1" applyAlignment="1">
      <alignment vertical="top" wrapText="1"/>
    </xf>
    <xf numFmtId="0" fontId="25" fillId="0" borderId="0" xfId="223" applyFont="1" applyFill="1"/>
    <xf numFmtId="0" fontId="26" fillId="0" borderId="0" xfId="223" applyFont="1" applyAlignment="1">
      <alignment horizontal="left" vertical="center"/>
    </xf>
    <xf numFmtId="173" fontId="25" fillId="0" borderId="0" xfId="223" applyNumberFormat="1" applyFont="1" applyAlignment="1">
      <alignment horizontal="left" vertical="center"/>
    </xf>
    <xf numFmtId="173" fontId="13" fillId="0" borderId="0" xfId="0" applyNumberFormat="1" applyFont="1" applyFill="1" applyBorder="1" applyProtection="1"/>
    <xf numFmtId="0" fontId="0" fillId="0" borderId="27" xfId="0" applyFill="1" applyBorder="1" applyAlignment="1" applyProtection="1"/>
    <xf numFmtId="188" fontId="6" fillId="0" borderId="0" xfId="277" applyNumberFormat="1" applyFont="1" applyFill="1" applyAlignment="1" applyProtection="1"/>
    <xf numFmtId="173" fontId="6" fillId="0" borderId="0" xfId="277" applyNumberFormat="1" applyFont="1" applyFill="1" applyAlignment="1" applyProtection="1"/>
    <xf numFmtId="42" fontId="6" fillId="0" borderId="0" xfId="277" applyNumberFormat="1" applyFont="1" applyProtection="1"/>
    <xf numFmtId="0" fontId="13" fillId="0" borderId="0" xfId="0" applyFont="1" applyFill="1" applyProtection="1"/>
    <xf numFmtId="41" fontId="25" fillId="30" borderId="33" xfId="271" applyNumberFormat="1" applyFont="1" applyFill="1" applyBorder="1" applyAlignment="1" applyProtection="1">
      <alignment vertical="center" wrapText="1"/>
      <protection locked="0"/>
    </xf>
    <xf numFmtId="3" fontId="3" fillId="0" borderId="40" xfId="220" applyNumberFormat="1" applyFont="1" applyFill="1" applyBorder="1" applyAlignment="1">
      <alignment horizontal="center" wrapText="1"/>
    </xf>
    <xf numFmtId="3" fontId="3" fillId="0" borderId="11" xfId="220" applyNumberFormat="1" applyFont="1" applyFill="1" applyBorder="1" applyAlignment="1">
      <alignment horizontal="center" wrapText="1"/>
    </xf>
    <xf numFmtId="3" fontId="3" fillId="0" borderId="35" xfId="220" applyNumberFormat="1" applyFont="1" applyFill="1" applyBorder="1" applyAlignment="1">
      <alignment horizontal="center" wrapText="1"/>
    </xf>
    <xf numFmtId="41" fontId="9" fillId="33" borderId="0" xfId="27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3" fillId="0" borderId="0" xfId="360" applyNumberFormat="1" applyFont="1"/>
    <xf numFmtId="172" fontId="3" fillId="0" borderId="0" xfId="360" applyFont="1"/>
    <xf numFmtId="172" fontId="6" fillId="0" borderId="0" xfId="360" applyFont="1" applyAlignment="1">
      <alignment horizontal="right"/>
    </xf>
    <xf numFmtId="0" fontId="25" fillId="0" borderId="0" xfId="361" applyFont="1" applyAlignment="1">
      <alignment horizontal="right"/>
    </xf>
    <xf numFmtId="173" fontId="3" fillId="0" borderId="0" xfId="362" applyNumberFormat="1" applyFont="1"/>
    <xf numFmtId="0" fontId="3" fillId="0" borderId="0" xfId="361" applyFont="1"/>
    <xf numFmtId="0" fontId="3" fillId="0" borderId="0" xfId="361" applyFont="1" applyAlignment="1">
      <alignment horizontal="right"/>
    </xf>
    <xf numFmtId="41" fontId="10" fillId="0" borderId="0" xfId="363" applyNumberFormat="1" applyFont="1" applyFill="1" applyBorder="1" applyAlignment="1" applyProtection="1">
      <alignment horizontal="center"/>
      <protection locked="0"/>
    </xf>
    <xf numFmtId="41" fontId="3" fillId="0" borderId="0" xfId="363" applyNumberFormat="1" applyFont="1" applyFill="1" applyBorder="1" applyAlignment="1" applyProtection="1">
      <alignment horizontal="center"/>
      <protection locked="0"/>
    </xf>
    <xf numFmtId="2" fontId="3" fillId="0" borderId="0" xfId="360" applyNumberFormat="1" applyFont="1" applyAlignment="1">
      <alignment horizontal="center"/>
    </xf>
    <xf numFmtId="172" fontId="3" fillId="0" borderId="0" xfId="360" applyFont="1" applyAlignment="1">
      <alignment horizontal="center"/>
    </xf>
    <xf numFmtId="2" fontId="3" fillId="0" borderId="0" xfId="360" applyNumberFormat="1" applyFont="1"/>
    <xf numFmtId="172" fontId="3" fillId="0" borderId="0" xfId="360" applyFont="1" applyAlignment="1">
      <alignment wrapText="1"/>
    </xf>
    <xf numFmtId="172" fontId="3" fillId="0" borderId="0" xfId="360" applyFont="1" applyAlignment="1">
      <alignment horizontal="center" wrapText="1"/>
    </xf>
    <xf numFmtId="172" fontId="3" fillId="0" borderId="0" xfId="360" applyFont="1" applyFill="1" applyAlignment="1">
      <alignment horizontal="center" wrapText="1"/>
    </xf>
    <xf numFmtId="172" fontId="4" fillId="0" borderId="0" xfId="360" applyFill="1"/>
    <xf numFmtId="172" fontId="3" fillId="0" borderId="0" xfId="360" applyFont="1" applyFill="1"/>
    <xf numFmtId="173" fontId="3" fillId="0" borderId="0" xfId="362" applyNumberFormat="1" applyFont="1" applyFill="1"/>
    <xf numFmtId="49" fontId="3" fillId="0" borderId="0" xfId="362" applyNumberFormat="1" applyFont="1"/>
    <xf numFmtId="43" fontId="0" fillId="0" borderId="0" xfId="362" applyFont="1" applyFill="1"/>
    <xf numFmtId="9" fontId="0" fillId="0" borderId="0" xfId="364" applyNumberFormat="1" applyFont="1" applyFill="1"/>
    <xf numFmtId="10" fontId="3" fillId="0" borderId="0" xfId="364" applyNumberFormat="1" applyFont="1" applyFill="1" applyAlignment="1"/>
    <xf numFmtId="9" fontId="3" fillId="0" borderId="0" xfId="364" applyFont="1" applyFill="1"/>
    <xf numFmtId="9" fontId="0" fillId="0" borderId="0" xfId="364" applyFont="1" applyFill="1"/>
    <xf numFmtId="1" fontId="3" fillId="0" borderId="0" xfId="360" applyNumberFormat="1" applyFont="1" applyAlignment="1">
      <alignment horizontal="center"/>
    </xf>
    <xf numFmtId="9" fontId="3" fillId="0" borderId="0" xfId="364" applyFont="1" applyFill="1" applyAlignment="1">
      <alignment wrapText="1"/>
    </xf>
    <xf numFmtId="173" fontId="102" fillId="0" borderId="0" xfId="362" applyNumberFormat="1" applyFont="1"/>
    <xf numFmtId="172" fontId="4" fillId="0" borderId="0" xfId="360"/>
    <xf numFmtId="8" fontId="3" fillId="0" borderId="0" xfId="364" applyNumberFormat="1" applyFont="1" applyFill="1"/>
    <xf numFmtId="197" fontId="0" fillId="0" borderId="0" xfId="362" applyNumberFormat="1" applyFont="1" applyFill="1"/>
    <xf numFmtId="9" fontId="0" fillId="0" borderId="0" xfId="364" applyFont="1" applyFill="1" applyAlignment="1">
      <alignment horizontal="center"/>
    </xf>
    <xf numFmtId="43" fontId="3" fillId="0" borderId="0" xfId="362" applyNumberFormat="1" applyFont="1" applyFill="1"/>
    <xf numFmtId="173" fontId="3" fillId="0" borderId="13" xfId="362" applyNumberFormat="1" applyFont="1" applyBorder="1"/>
    <xf numFmtId="173" fontId="3" fillId="0" borderId="13" xfId="362" applyNumberFormat="1" applyFont="1" applyFill="1" applyBorder="1"/>
    <xf numFmtId="173" fontId="3" fillId="0" borderId="0" xfId="362" applyNumberFormat="1" applyFont="1" applyFill="1" applyBorder="1"/>
    <xf numFmtId="10" fontId="3" fillId="0" borderId="0" xfId="292" applyNumberFormat="1" applyFont="1"/>
    <xf numFmtId="9" fontId="3" fillId="0" borderId="0" xfId="364" applyFont="1"/>
    <xf numFmtId="9" fontId="3" fillId="0" borderId="0" xfId="292" applyFont="1"/>
    <xf numFmtId="172" fontId="3" fillId="0" borderId="0" xfId="360" applyFont="1" applyAlignment="1">
      <alignment horizontal="left" wrapText="1"/>
    </xf>
    <xf numFmtId="172" fontId="3" fillId="0" borderId="0" xfId="360" applyFont="1" applyAlignment="1">
      <alignment vertical="center"/>
    </xf>
    <xf numFmtId="170" fontId="3" fillId="0" borderId="0" xfId="360" applyNumberFormat="1" applyFont="1"/>
    <xf numFmtId="0" fontId="25" fillId="0" borderId="0" xfId="361" applyFont="1" applyAlignment="1">
      <alignment horizontal="left" vertical="center"/>
    </xf>
    <xf numFmtId="0" fontId="25" fillId="0" borderId="0" xfId="361" applyFont="1"/>
    <xf numFmtId="0" fontId="25" fillId="0" borderId="0" xfId="361" applyFont="1" applyAlignment="1">
      <alignment vertical="top" wrapText="1"/>
    </xf>
    <xf numFmtId="0" fontId="25" fillId="0" borderId="0" xfId="361" applyFont="1" applyAlignment="1">
      <alignment vertical="top"/>
    </xf>
    <xf numFmtId="0" fontId="25" fillId="0" borderId="0" xfId="361" applyFont="1" applyFill="1" applyAlignment="1">
      <alignment horizontal="left"/>
    </xf>
    <xf numFmtId="0" fontId="25" fillId="0" borderId="0" xfId="361" applyFont="1" applyAlignment="1">
      <alignment horizontal="left"/>
    </xf>
    <xf numFmtId="0" fontId="25" fillId="0" borderId="0" xfId="361" applyFont="1" applyAlignment="1">
      <alignment horizontal="center"/>
    </xf>
    <xf numFmtId="0" fontId="25" fillId="0" borderId="0" xfId="361" applyFont="1" applyAlignment="1"/>
    <xf numFmtId="0" fontId="25" fillId="0" borderId="0" xfId="369" applyFont="1"/>
    <xf numFmtId="0" fontId="25" fillId="0" borderId="11" xfId="369" applyFont="1" applyBorder="1"/>
    <xf numFmtId="0" fontId="26" fillId="0" borderId="11" xfId="369" applyFont="1" applyBorder="1" applyAlignment="1">
      <alignment horizontal="center" wrapText="1"/>
    </xf>
    <xf numFmtId="0" fontId="26" fillId="0" borderId="11" xfId="369" applyFont="1" applyBorder="1" applyAlignment="1">
      <alignment horizontal="center"/>
    </xf>
    <xf numFmtId="0" fontId="26" fillId="0" borderId="13" xfId="369" applyFont="1" applyBorder="1" applyAlignment="1">
      <alignment horizontal="center" wrapText="1"/>
    </xf>
    <xf numFmtId="0" fontId="26" fillId="0" borderId="11" xfId="369" applyFont="1" applyFill="1" applyBorder="1" applyAlignment="1">
      <alignment horizontal="center" wrapText="1"/>
    </xf>
    <xf numFmtId="169" fontId="6" fillId="0" borderId="17" xfId="277" applyNumberFormat="1" applyFont="1" applyBorder="1" applyProtection="1"/>
    <xf numFmtId="3" fontId="7" fillId="0" borderId="0" xfId="277" applyNumberFormat="1" applyFont="1" applyAlignment="1" applyProtection="1">
      <alignment horizontal="right" vertical="center"/>
    </xf>
    <xf numFmtId="165" fontId="6" fillId="0" borderId="0" xfId="277" applyNumberFormat="1" applyFont="1" applyProtection="1"/>
    <xf numFmtId="165" fontId="6" fillId="0" borderId="0" xfId="277" applyNumberFormat="1" applyFont="1" applyAlignment="1" applyProtection="1">
      <alignment horizontal="right"/>
    </xf>
    <xf numFmtId="173" fontId="3" fillId="0" borderId="0" xfId="0" applyNumberFormat="1" applyFont="1"/>
    <xf numFmtId="170" fontId="145" fillId="30" borderId="0" xfId="276" applyNumberFormat="1" applyFont="1" applyFill="1" applyAlignment="1" applyProtection="1">
      <alignment horizontal="right"/>
      <protection locked="0"/>
    </xf>
    <xf numFmtId="0" fontId="13" fillId="0" borderId="0" xfId="0" applyFont="1" applyFill="1" applyProtection="1"/>
    <xf numFmtId="0" fontId="13" fillId="0" borderId="0" xfId="0" applyFont="1" applyFill="1" applyBorder="1" applyAlignment="1" applyProtection="1">
      <alignment wrapText="1"/>
    </xf>
    <xf numFmtId="0" fontId="19" fillId="0" borderId="0" xfId="278" applyNumberFormat="1" applyFont="1" applyAlignment="1">
      <alignment horizontal="center" vertical="center"/>
    </xf>
    <xf numFmtId="173" fontId="13" fillId="0" borderId="21" xfId="0" applyNumberFormat="1" applyFont="1" applyFill="1" applyBorder="1" applyProtection="1"/>
    <xf numFmtId="0" fontId="6" fillId="0" borderId="0" xfId="0" applyFont="1" applyFill="1" applyAlignment="1" applyProtection="1">
      <alignment horizontal="left" vertical="top" wrapText="1"/>
    </xf>
    <xf numFmtId="172" fontId="6" fillId="0" borderId="0" xfId="277" applyFont="1" applyAlignment="1" applyProtection="1">
      <alignment horizontal="left" wrapText="1"/>
    </xf>
    <xf numFmtId="0" fontId="6" fillId="0" borderId="0" xfId="277" applyNumberFormat="1" applyFont="1" applyFill="1" applyAlignment="1" applyProtection="1">
      <alignment vertical="top" wrapText="1"/>
    </xf>
    <xf numFmtId="0" fontId="13" fillId="0" borderId="0" xfId="0" applyFont="1" applyFill="1" applyProtection="1"/>
    <xf numFmtId="0" fontId="27" fillId="0" borderId="0" xfId="277" applyNumberFormat="1" applyFont="1" applyFill="1" applyAlignment="1" applyProtection="1">
      <alignment horizontal="left" wrapText="1"/>
    </xf>
    <xf numFmtId="172" fontId="6" fillId="0" borderId="0" xfId="277" applyFont="1" applyFill="1" applyAlignment="1" applyProtection="1">
      <alignment horizontal="justify" wrapText="1"/>
    </xf>
    <xf numFmtId="0" fontId="13" fillId="0" borderId="0" xfId="0" applyFont="1" applyFill="1" applyAlignment="1" applyProtection="1">
      <alignment horizontal="justify" wrapText="1"/>
    </xf>
    <xf numFmtId="172" fontId="27" fillId="0" borderId="0" xfId="277" applyFont="1" applyFill="1" applyAlignment="1" applyProtection="1">
      <alignment vertical="top" wrapText="1"/>
    </xf>
    <xf numFmtId="0" fontId="27" fillId="0" borderId="0" xfId="0" applyFont="1" applyAlignment="1" applyProtection="1">
      <alignment vertical="top" wrapText="1"/>
    </xf>
    <xf numFmtId="172" fontId="27" fillId="0" borderId="0" xfId="277" applyFont="1" applyFill="1" applyAlignment="1" applyProtection="1">
      <alignment wrapText="1"/>
    </xf>
    <xf numFmtId="172" fontId="6" fillId="0" borderId="0" xfId="277" applyFont="1" applyFill="1" applyAlignment="1" applyProtection="1">
      <alignment vertical="top" wrapText="1"/>
    </xf>
    <xf numFmtId="172" fontId="108" fillId="0" borderId="0" xfId="277" applyFont="1" applyFill="1" applyAlignment="1" applyProtection="1">
      <alignment wrapText="1"/>
    </xf>
    <xf numFmtId="0" fontId="13" fillId="0" borderId="0" xfId="0" applyFont="1" applyAlignment="1" applyProtection="1">
      <alignment wrapText="1"/>
    </xf>
    <xf numFmtId="0" fontId="33" fillId="0" borderId="0" xfId="0" applyFont="1" applyAlignment="1" applyProtection="1">
      <alignment wrapText="1"/>
    </xf>
    <xf numFmtId="0" fontId="6" fillId="0" borderId="0" xfId="277" applyNumberFormat="1" applyFont="1" applyFill="1" applyAlignment="1" applyProtection="1">
      <alignment wrapText="1"/>
    </xf>
    <xf numFmtId="0" fontId="6" fillId="32" borderId="0" xfId="277" applyNumberFormat="1" applyFont="1" applyFill="1" applyAlignment="1" applyProtection="1">
      <alignment horizontal="left" vertical="top" wrapText="1"/>
    </xf>
    <xf numFmtId="3" fontId="109" fillId="31" borderId="0" xfId="277" applyNumberFormat="1" applyFont="1" applyFill="1" applyAlignment="1" applyProtection="1">
      <alignment horizontal="center"/>
    </xf>
    <xf numFmtId="3" fontId="11" fillId="0" borderId="0" xfId="277" applyNumberFormat="1" applyFont="1" applyFill="1" applyAlignment="1" applyProtection="1">
      <alignment horizontal="center"/>
    </xf>
    <xf numFmtId="0" fontId="6" fillId="0" borderId="0" xfId="0" applyFont="1" applyAlignment="1" applyProtection="1">
      <alignment wrapText="1"/>
    </xf>
    <xf numFmtId="172" fontId="78" fillId="0" borderId="0" xfId="277" applyFont="1" applyAlignment="1" applyProtection="1">
      <alignment horizontal="left" wrapText="1"/>
    </xf>
    <xf numFmtId="49" fontId="6" fillId="0" borderId="0" xfId="277" applyNumberFormat="1" applyFont="1" applyAlignment="1" applyProtection="1">
      <alignment horizontal="center"/>
    </xf>
    <xf numFmtId="0" fontId="33" fillId="0" borderId="0" xfId="0" applyFont="1" applyAlignment="1" applyProtection="1">
      <alignment horizontal="center"/>
    </xf>
    <xf numFmtId="0" fontId="11" fillId="0" borderId="0" xfId="277"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77" applyFont="1" applyBorder="1" applyAlignment="1" applyProtection="1">
      <alignment horizontal="center"/>
    </xf>
    <xf numFmtId="0" fontId="6" fillId="0" borderId="0" xfId="0" applyFont="1" applyAlignment="1" applyProtection="1">
      <alignment horizontal="center"/>
    </xf>
    <xf numFmtId="0" fontId="6" fillId="0" borderId="0" xfId="220" applyFont="1" applyBorder="1" applyAlignment="1">
      <alignment horizontal="center"/>
    </xf>
    <xf numFmtId="0" fontId="10" fillId="0" borderId="47" xfId="281" applyFont="1" applyBorder="1" applyAlignment="1">
      <alignment horizontal="center" wrapText="1"/>
    </xf>
    <xf numFmtId="0" fontId="10" fillId="0" borderId="13" xfId="281" applyFont="1" applyBorder="1" applyAlignment="1">
      <alignment horizontal="center" wrapText="1"/>
    </xf>
    <xf numFmtId="0" fontId="10" fillId="0" borderId="48" xfId="281" applyFont="1" applyBorder="1" applyAlignment="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3" fontId="6" fillId="0" borderId="0" xfId="220" applyNumberFormat="1" applyFont="1" applyBorder="1" applyAlignment="1">
      <alignment horizontal="center"/>
    </xf>
    <xf numFmtId="38" fontId="64" fillId="0" borderId="0" xfId="0" applyNumberFormat="1" applyFont="1" applyFill="1" applyBorder="1" applyAlignment="1">
      <alignment horizontal="left" wrapText="1"/>
    </xf>
    <xf numFmtId="0" fontId="6" fillId="0" borderId="0" xfId="0" applyFont="1" applyAlignment="1">
      <alignment horizontal="center"/>
    </xf>
    <xf numFmtId="0" fontId="41" fillId="0" borderId="0" xfId="270" applyFont="1" applyBorder="1" applyAlignment="1">
      <alignment horizontal="center" wrapText="1"/>
    </xf>
    <xf numFmtId="0" fontId="64" fillId="0" borderId="11" xfId="0" applyFont="1" applyBorder="1" applyAlignment="1">
      <alignment horizontal="center" wrapText="1"/>
    </xf>
    <xf numFmtId="3" fontId="6" fillId="0" borderId="0" xfId="0" applyNumberFormat="1" applyFont="1" applyAlignment="1">
      <alignment horizontal="center"/>
    </xf>
    <xf numFmtId="0" fontId="41" fillId="0" borderId="0" xfId="220" quotePrefix="1" applyFont="1" applyBorder="1" applyAlignment="1">
      <alignment horizontal="center" wrapText="1"/>
    </xf>
    <xf numFmtId="0" fontId="25" fillId="0" borderId="0" xfId="361" applyFont="1" applyAlignment="1">
      <alignment horizontal="left" vertical="top" wrapText="1"/>
    </xf>
    <xf numFmtId="0" fontId="25" fillId="0" borderId="11" xfId="223" applyFont="1" applyBorder="1" applyAlignment="1">
      <alignment horizontal="center"/>
    </xf>
    <xf numFmtId="0" fontId="25" fillId="0" borderId="11" xfId="0" applyFont="1" applyBorder="1" applyAlignment="1">
      <alignment horizontal="center"/>
    </xf>
    <xf numFmtId="0" fontId="25" fillId="0" borderId="11" xfId="223" applyFont="1" applyBorder="1" applyAlignment="1">
      <alignment horizontal="center" wrapText="1"/>
    </xf>
    <xf numFmtId="0" fontId="26" fillId="0" borderId="0" xfId="223" applyFont="1" applyBorder="1" applyAlignment="1">
      <alignment horizontal="center" wrapText="1"/>
    </xf>
    <xf numFmtId="41" fontId="25" fillId="30" borderId="33" xfId="271" applyNumberFormat="1" applyFont="1" applyFill="1" applyBorder="1" applyAlignment="1" applyProtection="1">
      <alignment horizontal="left" vertical="center" wrapText="1"/>
      <protection locked="0"/>
    </xf>
    <xf numFmtId="0" fontId="25" fillId="0" borderId="0" xfId="223" applyFont="1" applyAlignment="1">
      <alignment horizontal="center" wrapText="1"/>
    </xf>
    <xf numFmtId="0" fontId="25" fillId="0" borderId="0" xfId="361" applyFont="1" applyFill="1" applyAlignment="1">
      <alignment horizontal="left" vertical="top" wrapText="1"/>
    </xf>
    <xf numFmtId="2" fontId="3" fillId="0" borderId="0" xfId="360" applyNumberFormat="1" applyFont="1" applyAlignment="1">
      <alignment vertical="top"/>
    </xf>
    <xf numFmtId="41" fontId="10" fillId="0" borderId="0" xfId="363" applyNumberFormat="1" applyFont="1" applyFill="1" applyBorder="1" applyAlignment="1" applyProtection="1">
      <alignment horizontal="center"/>
      <protection locked="0"/>
    </xf>
    <xf numFmtId="172" fontId="3" fillId="0" borderId="0" xfId="360" applyFont="1" applyAlignment="1">
      <alignment horizontal="center" wrapText="1"/>
    </xf>
    <xf numFmtId="172" fontId="3" fillId="0" borderId="0" xfId="360" applyFont="1" applyAlignment="1">
      <alignment vertical="center" wrapText="1"/>
    </xf>
    <xf numFmtId="172" fontId="3" fillId="0" borderId="0" xfId="360" applyFont="1" applyAlignment="1">
      <alignment horizontal="left" vertical="center" wrapText="1"/>
    </xf>
    <xf numFmtId="172" fontId="3" fillId="0" borderId="0" xfId="360" applyFont="1" applyAlignment="1">
      <alignment horizontal="left" vertical="top" wrapText="1"/>
    </xf>
    <xf numFmtId="172" fontId="3" fillId="0" borderId="0" xfId="360" applyFont="1" applyAlignment="1">
      <alignment horizontal="left" wrapText="1"/>
    </xf>
    <xf numFmtId="0" fontId="13" fillId="0" borderId="0" xfId="220" applyNumberFormat="1" applyFont="1" applyFill="1" applyBorder="1" applyAlignment="1">
      <alignment horizontal="left" wrapText="1"/>
    </xf>
    <xf numFmtId="0" fontId="82" fillId="0" borderId="0" xfId="220" applyNumberFormat="1" applyFont="1" applyFill="1" applyBorder="1" applyAlignment="1" applyProtection="1">
      <alignment horizontal="center"/>
    </xf>
    <xf numFmtId="0" fontId="6" fillId="0" borderId="0" xfId="220" applyFont="1" applyBorder="1" applyAlignment="1" applyProtection="1">
      <alignment horizontal="center"/>
    </xf>
    <xf numFmtId="3" fontId="6" fillId="0" borderId="0" xfId="0" applyNumberFormat="1" applyFont="1" applyAlignment="1" applyProtection="1">
      <alignment horizontal="center"/>
    </xf>
    <xf numFmtId="0" fontId="82" fillId="0" borderId="0" xfId="270" applyFont="1" applyFill="1" applyAlignment="1" applyProtection="1">
      <alignment horizontal="center"/>
    </xf>
    <xf numFmtId="0" fontId="18" fillId="0" borderId="0" xfId="270" applyFont="1" applyBorder="1" applyAlignment="1" applyProtection="1">
      <alignment horizontal="center" wrapText="1"/>
    </xf>
    <xf numFmtId="0" fontId="14" fillId="0" borderId="0" xfId="0" applyFont="1" applyBorder="1" applyAlignment="1" applyProtection="1">
      <alignment horizontal="center" wrapText="1"/>
    </xf>
    <xf numFmtId="0" fontId="18" fillId="0" borderId="0" xfId="220" quotePrefix="1" applyFont="1" applyBorder="1" applyAlignment="1" applyProtection="1">
      <alignment horizontal="center" wrapText="1"/>
    </xf>
    <xf numFmtId="0" fontId="14" fillId="0" borderId="0" xfId="0" applyFont="1" applyAlignment="1" applyProtection="1">
      <alignment horizontal="center" wrapText="1"/>
    </xf>
    <xf numFmtId="0" fontId="82" fillId="0" borderId="0" xfId="0" applyFont="1" applyFill="1" applyAlignment="1" applyProtection="1">
      <alignment horizontal="center"/>
    </xf>
    <xf numFmtId="172" fontId="110" fillId="0" borderId="0" xfId="277" applyFont="1" applyFill="1" applyAlignment="1" applyProtection="1">
      <alignment wrapText="1"/>
    </xf>
    <xf numFmtId="0" fontId="121" fillId="0" borderId="0" xfId="0" applyFont="1" applyAlignment="1" applyProtection="1">
      <alignment wrapText="1"/>
    </xf>
    <xf numFmtId="172" fontId="13" fillId="0" borderId="0" xfId="277" applyFont="1" applyFill="1" applyAlignment="1" applyProtection="1">
      <alignment horizontal="left" vertical="top" wrapText="1"/>
    </xf>
    <xf numFmtId="0" fontId="95" fillId="0" borderId="0" xfId="282" applyFont="1" applyFill="1" applyAlignment="1" applyProtection="1">
      <alignment wrapText="1"/>
    </xf>
    <xf numFmtId="3" fontId="5" fillId="0" borderId="0" xfId="0" applyNumberFormat="1" applyFont="1" applyAlignment="1" applyProtection="1">
      <alignment horizontal="center"/>
    </xf>
    <xf numFmtId="0" fontId="11" fillId="0" borderId="0" xfId="282" applyFont="1" applyFill="1" applyAlignment="1" applyProtection="1">
      <alignment horizontal="center"/>
    </xf>
    <xf numFmtId="3" fontId="5" fillId="0" borderId="0" xfId="0" applyNumberFormat="1" applyFont="1" applyAlignment="1">
      <alignment horizontal="center"/>
    </xf>
    <xf numFmtId="0" fontId="75" fillId="0" borderId="11" xfId="278" applyFont="1" applyBorder="1" applyAlignment="1" applyProtection="1">
      <alignment horizontal="center"/>
    </xf>
    <xf numFmtId="3" fontId="6" fillId="0" borderId="0" xfId="220" applyNumberFormat="1" applyFont="1" applyBorder="1" applyAlignment="1" applyProtection="1">
      <alignment horizontal="center"/>
    </xf>
    <xf numFmtId="0" fontId="72" fillId="0" borderId="0" xfId="278" applyFont="1" applyFill="1" applyAlignment="1">
      <alignment horizontal="left" wrapText="1"/>
    </xf>
    <xf numFmtId="0" fontId="0" fillId="0" borderId="0" xfId="0" applyAlignment="1"/>
    <xf numFmtId="0" fontId="72" fillId="0" borderId="0" xfId="278" applyFont="1" applyFill="1" applyAlignment="1">
      <alignment wrapText="1"/>
    </xf>
    <xf numFmtId="49" fontId="6" fillId="0" borderId="0" xfId="86" applyNumberFormat="1" applyFont="1" applyAlignment="1">
      <alignment horizontal="center"/>
    </xf>
    <xf numFmtId="0" fontId="0" fillId="0" borderId="0" xfId="0" applyAlignment="1">
      <alignment horizontal="center"/>
    </xf>
    <xf numFmtId="0" fontId="5" fillId="0" borderId="0" xfId="220" applyFont="1" applyBorder="1" applyAlignment="1">
      <alignment horizontal="center"/>
    </xf>
    <xf numFmtId="0" fontId="5" fillId="0" borderId="0" xfId="0" applyFont="1" applyAlignment="1">
      <alignment horizontal="center"/>
    </xf>
    <xf numFmtId="0" fontId="0" fillId="0" borderId="0" xfId="0" applyNumberFormat="1" applyAlignment="1" applyProtection="1">
      <alignment horizontal="left" wrapText="1"/>
    </xf>
    <xf numFmtId="0" fontId="156" fillId="30" borderId="0" xfId="0" applyFont="1" applyFill="1" applyAlignment="1" applyProtection="1">
      <alignment horizontal="left" vertical="top" wrapText="1"/>
      <protection locked="0"/>
    </xf>
    <xf numFmtId="173" fontId="96" fillId="0" borderId="0" xfId="86" applyNumberFormat="1" applyFont="1" applyBorder="1" applyAlignment="1" applyProtection="1">
      <alignment horizontal="center"/>
    </xf>
    <xf numFmtId="0" fontId="5"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3" fillId="0" borderId="23" xfId="277" applyFont="1" applyBorder="1" applyAlignment="1" applyProtection="1">
      <alignment wrapText="1"/>
    </xf>
    <xf numFmtId="0" fontId="3" fillId="0" borderId="17" xfId="0" applyFont="1" applyBorder="1" applyAlignment="1" applyProtection="1">
      <alignment wrapText="1"/>
    </xf>
    <xf numFmtId="0" fontId="3" fillId="0" borderId="24" xfId="0" applyFont="1" applyBorder="1" applyAlignment="1" applyProtection="1">
      <alignment wrapText="1"/>
    </xf>
    <xf numFmtId="0" fontId="3" fillId="0" borderId="19" xfId="0" applyFont="1" applyBorder="1" applyAlignment="1" applyProtection="1">
      <alignment wrapText="1"/>
    </xf>
    <xf numFmtId="0" fontId="3" fillId="0" borderId="0" xfId="0" applyFont="1" applyBorder="1" applyAlignment="1" applyProtection="1">
      <alignment wrapText="1"/>
    </xf>
    <xf numFmtId="0" fontId="3" fillId="0" borderId="20" xfId="0" applyFont="1" applyBorder="1" applyAlignment="1" applyProtection="1">
      <alignment wrapText="1"/>
    </xf>
    <xf numFmtId="0" fontId="13" fillId="32" borderId="0" xfId="0" applyFont="1" applyFill="1" applyBorder="1" applyAlignment="1" applyProtection="1">
      <alignment wrapText="1"/>
    </xf>
    <xf numFmtId="0" fontId="13" fillId="0" borderId="0" xfId="0" applyFont="1" applyFill="1" applyBorder="1" applyAlignment="1" applyProtection="1">
      <alignment wrapText="1"/>
    </xf>
    <xf numFmtId="0" fontId="70" fillId="30" borderId="0" xfId="0" applyFont="1" applyFill="1" applyAlignment="1" applyProtection="1">
      <alignment horizontal="left" wrapText="1"/>
      <protection locked="0"/>
    </xf>
    <xf numFmtId="0" fontId="0" fillId="30" borderId="0" xfId="0" applyFill="1" applyAlignment="1" applyProtection="1">
      <alignment wrapText="1"/>
      <protection locked="0"/>
    </xf>
    <xf numFmtId="0" fontId="70" fillId="30" borderId="0" xfId="0" applyFont="1" applyFill="1" applyAlignment="1" applyProtection="1">
      <alignment horizontal="left"/>
      <protection locked="0"/>
    </xf>
    <xf numFmtId="0" fontId="6" fillId="0" borderId="0" xfId="174" applyFont="1" applyAlignment="1" applyProtection="1">
      <alignment horizontal="center"/>
    </xf>
    <xf numFmtId="0" fontId="10" fillId="0" borderId="47" xfId="174" applyFont="1" applyBorder="1" applyAlignment="1">
      <alignment horizontal="center"/>
    </xf>
    <xf numFmtId="0" fontId="10" fillId="0" borderId="13" xfId="174" applyFont="1" applyBorder="1" applyAlignment="1">
      <alignment horizontal="center"/>
    </xf>
    <xf numFmtId="0" fontId="10" fillId="0" borderId="48" xfId="174" applyFont="1" applyBorder="1" applyAlignment="1">
      <alignment horizontal="center"/>
    </xf>
    <xf numFmtId="0" fontId="13" fillId="0" borderId="0" xfId="272" applyFont="1" applyFill="1" applyAlignment="1" applyProtection="1">
      <alignment horizontal="left" wrapText="1"/>
    </xf>
    <xf numFmtId="0" fontId="13" fillId="0" borderId="0" xfId="194" applyFont="1" applyFill="1" applyAlignment="1" applyProtection="1">
      <alignment wrapText="1"/>
    </xf>
    <xf numFmtId="0" fontId="113" fillId="0" borderId="0" xfId="272" applyFont="1" applyFill="1" applyAlignment="1" applyProtection="1">
      <alignment horizontal="left" wrapText="1"/>
    </xf>
    <xf numFmtId="0" fontId="64" fillId="0" borderId="0" xfId="174" applyFont="1" applyAlignment="1" applyProtection="1">
      <alignment horizontal="left" vertical="top" wrapText="1"/>
    </xf>
    <xf numFmtId="41" fontId="10" fillId="0" borderId="0" xfId="272" applyNumberFormat="1" applyFont="1" applyFill="1" applyBorder="1" applyAlignment="1" applyProtection="1">
      <alignment horizontal="center" wrapText="1"/>
    </xf>
    <xf numFmtId="0" fontId="10" fillId="0" borderId="0" xfId="0" applyFont="1" applyAlignment="1">
      <alignment horizontal="center" wrapText="1"/>
    </xf>
    <xf numFmtId="0" fontId="0" fillId="0" borderId="0" xfId="0" applyAlignment="1">
      <alignment wrapText="1"/>
    </xf>
    <xf numFmtId="0" fontId="10" fillId="0" borderId="0" xfId="0" applyFont="1" applyAlignment="1">
      <alignment horizontal="left" wrapText="1"/>
    </xf>
    <xf numFmtId="0" fontId="95" fillId="0" borderId="0" xfId="0" applyFont="1" applyAlignment="1">
      <alignment horizontal="center" wrapText="1"/>
    </xf>
    <xf numFmtId="0" fontId="21" fillId="30" borderId="0" xfId="0" applyFont="1" applyFill="1" applyAlignment="1" applyProtection="1">
      <alignment wrapText="1"/>
      <protection locked="0"/>
    </xf>
    <xf numFmtId="0" fontId="141" fillId="0" borderId="0" xfId="0" applyFont="1" applyAlignment="1" applyProtection="1">
      <alignment horizontal="left" vertical="center" wrapText="1"/>
    </xf>
    <xf numFmtId="0" fontId="141" fillId="0" borderId="0" xfId="220" applyFont="1" applyBorder="1" applyAlignment="1" applyProtection="1">
      <alignment horizontal="center"/>
    </xf>
    <xf numFmtId="3" fontId="141" fillId="0" borderId="0" xfId="220" applyNumberFormat="1" applyFont="1" applyAlignment="1" applyProtection="1">
      <alignment horizontal="center"/>
    </xf>
    <xf numFmtId="0" fontId="7" fillId="0" borderId="0" xfId="280" applyFont="1" applyAlignment="1" applyProtection="1">
      <alignment horizontal="left" vertical="top"/>
    </xf>
    <xf numFmtId="0" fontId="6" fillId="0" borderId="0" xfId="280" applyFont="1" applyAlignment="1" applyProtection="1">
      <alignment horizontal="left" vertical="top"/>
    </xf>
    <xf numFmtId="0" fontId="103" fillId="0" borderId="0" xfId="280" applyFont="1" applyAlignment="1" applyProtection="1">
      <alignment horizontal="center"/>
    </xf>
    <xf numFmtId="0" fontId="103" fillId="0" borderId="0" xfId="280" applyFont="1" applyFill="1" applyAlignment="1" applyProtection="1">
      <alignment horizontal="center"/>
    </xf>
    <xf numFmtId="3" fontId="103" fillId="0" borderId="0" xfId="280" applyNumberFormat="1" applyFont="1" applyAlignment="1" applyProtection="1">
      <alignment horizontal="center"/>
    </xf>
    <xf numFmtId="0" fontId="78" fillId="0" borderId="11" xfId="280" applyFont="1" applyFill="1" applyBorder="1" applyAlignment="1" applyProtection="1">
      <alignment wrapText="1"/>
    </xf>
    <xf numFmtId="0" fontId="0" fillId="0" borderId="11" xfId="0" applyFill="1" applyBorder="1" applyAlignment="1" applyProtection="1">
      <alignment wrapText="1"/>
    </xf>
    <xf numFmtId="0" fontId="13" fillId="0" borderId="0" xfId="270" applyFont="1" applyFill="1" applyAlignment="1" applyProtection="1">
      <alignment horizontal="left" vertical="top" wrapText="1"/>
    </xf>
    <xf numFmtId="0" fontId="10" fillId="0" borderId="0" xfId="284" applyFont="1" applyAlignment="1" applyProtection="1">
      <alignment horizontal="center"/>
    </xf>
    <xf numFmtId="0" fontId="7" fillId="0" borderId="0" xfId="0" applyFont="1" applyFill="1" applyAlignment="1" applyProtection="1">
      <alignment horizontal="center"/>
    </xf>
    <xf numFmtId="0" fontId="78" fillId="0" borderId="0" xfId="0" applyFont="1" applyAlignment="1" applyProtection="1">
      <alignment horizontal="center"/>
    </xf>
    <xf numFmtId="0" fontId="123" fillId="0" borderId="0" xfId="0" applyFont="1" applyFill="1" applyAlignment="1" applyProtection="1">
      <alignment horizontal="center" wrapText="1"/>
    </xf>
  </cellXfs>
  <cellStyles count="37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1" xfId="366" xr:uid="{00000000-0005-0000-0000-000056000000}"/>
    <cellStyle name="Comma 12 2" xfId="87" xr:uid="{00000000-0005-0000-0000-000057000000}"/>
    <cellStyle name="Comma 2" xfId="88" xr:uid="{00000000-0005-0000-0000-000058000000}"/>
    <cellStyle name="Comma 2 2" xfId="89" xr:uid="{00000000-0005-0000-0000-000059000000}"/>
    <cellStyle name="Comma 3" xfId="90" xr:uid="{00000000-0005-0000-0000-00005A000000}"/>
    <cellStyle name="Comma 3 2" xfId="91" xr:uid="{00000000-0005-0000-0000-00005B000000}"/>
    <cellStyle name="Comma 3 3" xfId="92" xr:uid="{00000000-0005-0000-0000-00005C000000}"/>
    <cellStyle name="Comma 3 3 2" xfId="93" xr:uid="{00000000-0005-0000-0000-00005D000000}"/>
    <cellStyle name="Comma 3 3 3" xfId="94" xr:uid="{00000000-0005-0000-0000-00005E000000}"/>
    <cellStyle name="Comma 3 4" xfId="95" xr:uid="{00000000-0005-0000-0000-00005F000000}"/>
    <cellStyle name="Comma 3 4 2" xfId="96" xr:uid="{00000000-0005-0000-0000-000060000000}"/>
    <cellStyle name="Comma 3 4 3" xfId="97" xr:uid="{00000000-0005-0000-0000-000061000000}"/>
    <cellStyle name="Comma 3 5" xfId="98" xr:uid="{00000000-0005-0000-0000-000062000000}"/>
    <cellStyle name="Comma 3 5 2" xfId="99" xr:uid="{00000000-0005-0000-0000-000063000000}"/>
    <cellStyle name="Comma 3 5 3" xfId="100" xr:uid="{00000000-0005-0000-0000-000064000000}"/>
    <cellStyle name="Comma 3 6" xfId="101" xr:uid="{00000000-0005-0000-0000-000065000000}"/>
    <cellStyle name="Comma 3 6 2" xfId="102" xr:uid="{00000000-0005-0000-0000-000066000000}"/>
    <cellStyle name="Comma 3 7" xfId="103" xr:uid="{00000000-0005-0000-0000-000067000000}"/>
    <cellStyle name="Comma 3 8" xfId="104" xr:uid="{00000000-0005-0000-0000-000068000000}"/>
    <cellStyle name="Comma 4" xfId="362" xr:uid="{00000000-0005-0000-0000-000069000000}"/>
    <cellStyle name="Comma 4 2" xfId="105" xr:uid="{00000000-0005-0000-0000-00006A000000}"/>
    <cellStyle name="Comma 4 2 2" xfId="106" xr:uid="{00000000-0005-0000-0000-00006B000000}"/>
    <cellStyle name="Comma 4 2 3" xfId="107" xr:uid="{00000000-0005-0000-0000-00006C000000}"/>
    <cellStyle name="Comma 4 3" xfId="108" xr:uid="{00000000-0005-0000-0000-00006D000000}"/>
    <cellStyle name="Comma 5 2" xfId="109" xr:uid="{00000000-0005-0000-0000-00006E000000}"/>
    <cellStyle name="Comma 6" xfId="110" xr:uid="{00000000-0005-0000-0000-00006F000000}"/>
    <cellStyle name="Comma 6 2" xfId="111" xr:uid="{00000000-0005-0000-0000-000070000000}"/>
    <cellStyle name="Comma 6 2 2" xfId="112" xr:uid="{00000000-0005-0000-0000-000071000000}"/>
    <cellStyle name="Comma 6 3" xfId="113" xr:uid="{00000000-0005-0000-0000-000072000000}"/>
    <cellStyle name="Comma 7" xfId="114" xr:uid="{00000000-0005-0000-0000-000073000000}"/>
    <cellStyle name="Comma 7 2" xfId="115" xr:uid="{00000000-0005-0000-0000-000074000000}"/>
    <cellStyle name="Comma 8" xfId="116" xr:uid="{00000000-0005-0000-0000-000075000000}"/>
    <cellStyle name="Comma 9" xfId="117" xr:uid="{00000000-0005-0000-0000-000076000000}"/>
    <cellStyle name="Comma_spp calc - revsd rev crd" xfId="118" xr:uid="{00000000-0005-0000-0000-000077000000}"/>
    <cellStyle name="Comma_spp calc - revsd rev crd 2" xfId="119" xr:uid="{00000000-0005-0000-0000-000078000000}"/>
    <cellStyle name="Comma0" xfId="120" xr:uid="{00000000-0005-0000-0000-000079000000}"/>
    <cellStyle name="Currency" xfId="121" builtinId="4"/>
    <cellStyle name="Currency 2" xfId="122" xr:uid="{00000000-0005-0000-0000-00007B000000}"/>
    <cellStyle name="Currency 2 2" xfId="123" xr:uid="{00000000-0005-0000-0000-00007C000000}"/>
    <cellStyle name="Currency 3" xfId="124" xr:uid="{00000000-0005-0000-0000-00007D000000}"/>
    <cellStyle name="Currency 3 2" xfId="125" xr:uid="{00000000-0005-0000-0000-00007E000000}"/>
    <cellStyle name="Currency 3 3" xfId="126" xr:uid="{00000000-0005-0000-0000-00007F000000}"/>
    <cellStyle name="Currency 3 3 2" xfId="127" xr:uid="{00000000-0005-0000-0000-000080000000}"/>
    <cellStyle name="Currency 3 3 3" xfId="128" xr:uid="{00000000-0005-0000-0000-000081000000}"/>
    <cellStyle name="Currency 3 4" xfId="129" xr:uid="{00000000-0005-0000-0000-000082000000}"/>
    <cellStyle name="Currency 3 4 2" xfId="130" xr:uid="{00000000-0005-0000-0000-000083000000}"/>
    <cellStyle name="Currency 3 4 3" xfId="131" xr:uid="{00000000-0005-0000-0000-000084000000}"/>
    <cellStyle name="Currency 3 5" xfId="132" xr:uid="{00000000-0005-0000-0000-000085000000}"/>
    <cellStyle name="Currency 3 5 2" xfId="133" xr:uid="{00000000-0005-0000-0000-000086000000}"/>
    <cellStyle name="Currency 3 5 3" xfId="134" xr:uid="{00000000-0005-0000-0000-000087000000}"/>
    <cellStyle name="Currency 3 6" xfId="135" xr:uid="{00000000-0005-0000-0000-000088000000}"/>
    <cellStyle name="Currency 3 6 2" xfId="136" xr:uid="{00000000-0005-0000-0000-000089000000}"/>
    <cellStyle name="Currency 3 7" xfId="137" xr:uid="{00000000-0005-0000-0000-00008A000000}"/>
    <cellStyle name="Currency 4 2" xfId="138" xr:uid="{00000000-0005-0000-0000-00008B000000}"/>
    <cellStyle name="Currency 4 2 2" xfId="139" xr:uid="{00000000-0005-0000-0000-00008C000000}"/>
    <cellStyle name="Currency 4 2 3" xfId="140" xr:uid="{00000000-0005-0000-0000-00008D000000}"/>
    <cellStyle name="Currency 4 3" xfId="141" xr:uid="{00000000-0005-0000-0000-00008E000000}"/>
    <cellStyle name="Currency 5 2" xfId="142" xr:uid="{00000000-0005-0000-0000-00008F000000}"/>
    <cellStyle name="Currency 6" xfId="143" xr:uid="{00000000-0005-0000-0000-000090000000}"/>
    <cellStyle name="Currency 7" xfId="144" xr:uid="{00000000-0005-0000-0000-000091000000}"/>
    <cellStyle name="Currency0" xfId="145" xr:uid="{00000000-0005-0000-0000-000092000000}"/>
    <cellStyle name="Date" xfId="146" xr:uid="{00000000-0005-0000-0000-000093000000}"/>
    <cellStyle name="Explanatory Text" xfId="147" builtinId="53" customBuiltin="1"/>
    <cellStyle name="Explanatory Text 2" xfId="148" xr:uid="{00000000-0005-0000-0000-000095000000}"/>
    <cellStyle name="Fixed" xfId="149" xr:uid="{00000000-0005-0000-0000-000096000000}"/>
    <cellStyle name="Good" xfId="150" builtinId="26" customBuiltin="1"/>
    <cellStyle name="Good 2" xfId="151" xr:uid="{00000000-0005-0000-0000-000098000000}"/>
    <cellStyle name="Heading 1" xfId="152" builtinId="16" customBuiltin="1"/>
    <cellStyle name="Heading 1 2" xfId="153" xr:uid="{00000000-0005-0000-0000-00009A000000}"/>
    <cellStyle name="Heading 2" xfId="154" builtinId="17" customBuiltin="1"/>
    <cellStyle name="Heading 2 2" xfId="155" xr:uid="{00000000-0005-0000-0000-00009C000000}"/>
    <cellStyle name="Heading 3" xfId="156" builtinId="18" customBuiltin="1"/>
    <cellStyle name="Heading 3 2" xfId="157" xr:uid="{00000000-0005-0000-0000-00009E000000}"/>
    <cellStyle name="Heading 4" xfId="158" builtinId="19" customBuiltin="1"/>
    <cellStyle name="Heading 4 2" xfId="159" xr:uid="{00000000-0005-0000-0000-0000A0000000}"/>
    <cellStyle name="Heading1" xfId="160" xr:uid="{00000000-0005-0000-0000-0000A1000000}"/>
    <cellStyle name="Heading2" xfId="161" xr:uid="{00000000-0005-0000-0000-0000A2000000}"/>
    <cellStyle name="Input" xfId="162" builtinId="20" customBuiltin="1"/>
    <cellStyle name="Input 2" xfId="163" xr:uid="{00000000-0005-0000-0000-0000A4000000}"/>
    <cellStyle name="Linked Cell" xfId="164" builtinId="24" customBuiltin="1"/>
    <cellStyle name="Linked Cell 2" xfId="165" xr:uid="{00000000-0005-0000-0000-0000A6000000}"/>
    <cellStyle name="Neutral" xfId="166" builtinId="28" customBuiltin="1"/>
    <cellStyle name="Neutral 2" xfId="167" xr:uid="{00000000-0005-0000-0000-0000A8000000}"/>
    <cellStyle name="Normal" xfId="0" builtinId="0"/>
    <cellStyle name="Normal 10" xfId="168" xr:uid="{00000000-0005-0000-0000-0000AA000000}"/>
    <cellStyle name="Normal 10 2" xfId="169" xr:uid="{00000000-0005-0000-0000-0000AB000000}"/>
    <cellStyle name="Normal 10 3" xfId="170" xr:uid="{00000000-0005-0000-0000-0000AC000000}"/>
    <cellStyle name="Normal 10 4" xfId="171" xr:uid="{00000000-0005-0000-0000-0000AD000000}"/>
    <cellStyle name="Normal 10 5" xfId="172" xr:uid="{00000000-0005-0000-0000-0000AE000000}"/>
    <cellStyle name="Normal 11" xfId="173" xr:uid="{00000000-0005-0000-0000-0000AF000000}"/>
    <cellStyle name="Normal 11 2" xfId="174" xr:uid="{00000000-0005-0000-0000-0000B0000000}"/>
    <cellStyle name="Normal 11 3" xfId="175" xr:uid="{00000000-0005-0000-0000-0000B1000000}"/>
    <cellStyle name="Normal 11 4" xfId="176" xr:uid="{00000000-0005-0000-0000-0000B2000000}"/>
    <cellStyle name="Normal 11 5" xfId="177" xr:uid="{00000000-0005-0000-0000-0000B3000000}"/>
    <cellStyle name="Normal 12" xfId="178" xr:uid="{00000000-0005-0000-0000-0000B4000000}"/>
    <cellStyle name="Normal 12 2" xfId="179" xr:uid="{00000000-0005-0000-0000-0000B5000000}"/>
    <cellStyle name="Normal 12 4" xfId="180" xr:uid="{00000000-0005-0000-0000-0000B6000000}"/>
    <cellStyle name="Normal 13" xfId="181" xr:uid="{00000000-0005-0000-0000-0000B7000000}"/>
    <cellStyle name="Normal 13 2" xfId="182" xr:uid="{00000000-0005-0000-0000-0000B8000000}"/>
    <cellStyle name="Normal 14" xfId="183" xr:uid="{00000000-0005-0000-0000-0000B9000000}"/>
    <cellStyle name="Normal 14 2" xfId="184" xr:uid="{00000000-0005-0000-0000-0000BA000000}"/>
    <cellStyle name="Normal 15" xfId="185" xr:uid="{00000000-0005-0000-0000-0000BB000000}"/>
    <cellStyle name="Normal 16" xfId="186" xr:uid="{00000000-0005-0000-0000-0000BC000000}"/>
    <cellStyle name="Normal 16 2" xfId="187" xr:uid="{00000000-0005-0000-0000-0000BD000000}"/>
    <cellStyle name="Normal 17" xfId="188" xr:uid="{00000000-0005-0000-0000-0000BE000000}"/>
    <cellStyle name="Normal 17 2" xfId="189" xr:uid="{00000000-0005-0000-0000-0000BF000000}"/>
    <cellStyle name="Normal 18" xfId="190" xr:uid="{00000000-0005-0000-0000-0000C0000000}"/>
    <cellStyle name="Normal 18 2" xfId="191" xr:uid="{00000000-0005-0000-0000-0000C1000000}"/>
    <cellStyle name="Normal 19" xfId="192" xr:uid="{00000000-0005-0000-0000-0000C2000000}"/>
    <cellStyle name="Normal 19 2" xfId="193" xr:uid="{00000000-0005-0000-0000-0000C3000000}"/>
    <cellStyle name="Normal 2" xfId="194" xr:uid="{00000000-0005-0000-0000-0000C4000000}"/>
    <cellStyle name="Normal 2 2" xfId="195" xr:uid="{00000000-0005-0000-0000-0000C5000000}"/>
    <cellStyle name="Normal 2 2 2" xfId="196" xr:uid="{00000000-0005-0000-0000-0000C6000000}"/>
    <cellStyle name="Normal 2 2 3" xfId="197" xr:uid="{00000000-0005-0000-0000-0000C7000000}"/>
    <cellStyle name="Normal 2 2 4" xfId="198" xr:uid="{00000000-0005-0000-0000-0000C8000000}"/>
    <cellStyle name="Normal 2 3" xfId="199" xr:uid="{00000000-0005-0000-0000-0000C9000000}"/>
    <cellStyle name="Normal 2 5" xfId="200" xr:uid="{00000000-0005-0000-0000-0000CA000000}"/>
    <cellStyle name="Normal 2 5 2" xfId="201" xr:uid="{00000000-0005-0000-0000-0000CB000000}"/>
    <cellStyle name="Normal 20" xfId="202" xr:uid="{00000000-0005-0000-0000-0000CC000000}"/>
    <cellStyle name="Normal 20 2" xfId="203" xr:uid="{00000000-0005-0000-0000-0000CD000000}"/>
    <cellStyle name="Normal 21" xfId="204" xr:uid="{00000000-0005-0000-0000-0000CE000000}"/>
    <cellStyle name="Normal 21 2" xfId="205" xr:uid="{00000000-0005-0000-0000-0000CF000000}"/>
    <cellStyle name="Normal 22" xfId="206" xr:uid="{00000000-0005-0000-0000-0000D0000000}"/>
    <cellStyle name="Normal 22 2" xfId="207" xr:uid="{00000000-0005-0000-0000-0000D1000000}"/>
    <cellStyle name="Normal 23" xfId="208" xr:uid="{00000000-0005-0000-0000-0000D2000000}"/>
    <cellStyle name="Normal 23 2" xfId="209" xr:uid="{00000000-0005-0000-0000-0000D3000000}"/>
    <cellStyle name="Normal 24" xfId="210" xr:uid="{00000000-0005-0000-0000-0000D4000000}"/>
    <cellStyle name="Normal 24 2" xfId="211" xr:uid="{00000000-0005-0000-0000-0000D5000000}"/>
    <cellStyle name="Normal 25" xfId="212" xr:uid="{00000000-0005-0000-0000-0000D6000000}"/>
    <cellStyle name="Normal 25 2" xfId="213" xr:uid="{00000000-0005-0000-0000-0000D7000000}"/>
    <cellStyle name="Normal 26" xfId="214" xr:uid="{00000000-0005-0000-0000-0000D8000000}"/>
    <cellStyle name="Normal 26 2" xfId="215" xr:uid="{00000000-0005-0000-0000-0000D9000000}"/>
    <cellStyle name="Normal 27" xfId="216" xr:uid="{00000000-0005-0000-0000-0000DA000000}"/>
    <cellStyle name="Normal 28" xfId="217" xr:uid="{00000000-0005-0000-0000-0000DB000000}"/>
    <cellStyle name="Normal 29" xfId="218" xr:uid="{00000000-0005-0000-0000-0000DC000000}"/>
    <cellStyle name="Normal 3" xfId="219" xr:uid="{00000000-0005-0000-0000-0000DD000000}"/>
    <cellStyle name="Normal 3 2" xfId="220" xr:uid="{00000000-0005-0000-0000-0000DE000000}"/>
    <cellStyle name="Normal 3 3" xfId="221" xr:uid="{00000000-0005-0000-0000-0000DF000000}"/>
    <cellStyle name="Normal 3_Attach O, GG, Support -New Method 2-14-11" xfId="222" xr:uid="{00000000-0005-0000-0000-0000E0000000}"/>
    <cellStyle name="Normal 31" xfId="369" xr:uid="{00000000-0005-0000-0000-0000E1000000}"/>
    <cellStyle name="Normal 31 2" xfId="223" xr:uid="{00000000-0005-0000-0000-0000E2000000}"/>
    <cellStyle name="Normal 31 2 2" xfId="361" xr:uid="{00000000-0005-0000-0000-0000E3000000}"/>
    <cellStyle name="Normal 31 2 3" xfId="365" xr:uid="{00000000-0005-0000-0000-0000E4000000}"/>
    <cellStyle name="Normal 31 3" xfId="367" xr:uid="{00000000-0005-0000-0000-0000E5000000}"/>
    <cellStyle name="Normal 4" xfId="224" xr:uid="{00000000-0005-0000-0000-0000E6000000}"/>
    <cellStyle name="Normal 4 2" xfId="225" xr:uid="{00000000-0005-0000-0000-0000E7000000}"/>
    <cellStyle name="Normal 4 3" xfId="226" xr:uid="{00000000-0005-0000-0000-0000E8000000}"/>
    <cellStyle name="Normal 4 3 2" xfId="227" xr:uid="{00000000-0005-0000-0000-0000E9000000}"/>
    <cellStyle name="Normal 4 3 3" xfId="228" xr:uid="{00000000-0005-0000-0000-0000EA000000}"/>
    <cellStyle name="Normal 4 4" xfId="229" xr:uid="{00000000-0005-0000-0000-0000EB000000}"/>
    <cellStyle name="Normal 4 4 2" xfId="230" xr:uid="{00000000-0005-0000-0000-0000EC000000}"/>
    <cellStyle name="Normal 4 4 3" xfId="231" xr:uid="{00000000-0005-0000-0000-0000ED000000}"/>
    <cellStyle name="Normal 4 5" xfId="232" xr:uid="{00000000-0005-0000-0000-0000EE000000}"/>
    <cellStyle name="Normal 4 5 2" xfId="233" xr:uid="{00000000-0005-0000-0000-0000EF000000}"/>
    <cellStyle name="Normal 4 5 3" xfId="234" xr:uid="{00000000-0005-0000-0000-0000F0000000}"/>
    <cellStyle name="Normal 4 6" xfId="235" xr:uid="{00000000-0005-0000-0000-0000F1000000}"/>
    <cellStyle name="Normal 4 6 2" xfId="236" xr:uid="{00000000-0005-0000-0000-0000F2000000}"/>
    <cellStyle name="Normal 4 7" xfId="237" xr:uid="{00000000-0005-0000-0000-0000F3000000}"/>
    <cellStyle name="Normal 4 8" xfId="238" xr:uid="{00000000-0005-0000-0000-0000F4000000}"/>
    <cellStyle name="Normal 4_PBOP Exhibit 1" xfId="239" xr:uid="{00000000-0005-0000-0000-0000F5000000}"/>
    <cellStyle name="Normal 5" xfId="360" xr:uid="{00000000-0005-0000-0000-0000F6000000}"/>
    <cellStyle name="Normal 5 2" xfId="240" xr:uid="{00000000-0005-0000-0000-0000F7000000}"/>
    <cellStyle name="Normal 5 2 2" xfId="241" xr:uid="{00000000-0005-0000-0000-0000F8000000}"/>
    <cellStyle name="Normal 5 2 3" xfId="242" xr:uid="{00000000-0005-0000-0000-0000F9000000}"/>
    <cellStyle name="Normal 5 3" xfId="243" xr:uid="{00000000-0005-0000-0000-0000FA000000}"/>
    <cellStyle name="Normal 5 4" xfId="244" xr:uid="{00000000-0005-0000-0000-0000FB000000}"/>
    <cellStyle name="Normal 5 4 2" xfId="245" xr:uid="{00000000-0005-0000-0000-0000FC000000}"/>
    <cellStyle name="Normal 5 4 3" xfId="246" xr:uid="{00000000-0005-0000-0000-0000FD000000}"/>
    <cellStyle name="Normal 6 2" xfId="247" xr:uid="{00000000-0005-0000-0000-0000FE000000}"/>
    <cellStyle name="Normal 6 2 2" xfId="248" xr:uid="{00000000-0005-0000-0000-0000FF000000}"/>
    <cellStyle name="Normal 6 2 3" xfId="249" xr:uid="{00000000-0005-0000-0000-000000010000}"/>
    <cellStyle name="Normal 6 2 4" xfId="250" xr:uid="{00000000-0005-0000-0000-000001010000}"/>
    <cellStyle name="Normal 6 2 5" xfId="251" xr:uid="{00000000-0005-0000-0000-000002010000}"/>
    <cellStyle name="Normal 6 3" xfId="252" xr:uid="{00000000-0005-0000-0000-000003010000}"/>
    <cellStyle name="Normal 6 3 2" xfId="253" xr:uid="{00000000-0005-0000-0000-000004010000}"/>
    <cellStyle name="Normal 6 3 3" xfId="254" xr:uid="{00000000-0005-0000-0000-000005010000}"/>
    <cellStyle name="Normal 6 4" xfId="255" xr:uid="{00000000-0005-0000-0000-000006010000}"/>
    <cellStyle name="Normal 6 5" xfId="256" xr:uid="{00000000-0005-0000-0000-000007010000}"/>
    <cellStyle name="Normal 7" xfId="257" xr:uid="{00000000-0005-0000-0000-000008010000}"/>
    <cellStyle name="Normal 7 2" xfId="258" xr:uid="{00000000-0005-0000-0000-000009010000}"/>
    <cellStyle name="Normal 7 3" xfId="259" xr:uid="{00000000-0005-0000-0000-00000A010000}"/>
    <cellStyle name="Normal 7 4" xfId="260" xr:uid="{00000000-0005-0000-0000-00000B010000}"/>
    <cellStyle name="Normal 8" xfId="261" xr:uid="{00000000-0005-0000-0000-00000C010000}"/>
    <cellStyle name="Normal 8 2" xfId="262" xr:uid="{00000000-0005-0000-0000-00000D010000}"/>
    <cellStyle name="Normal 8 3" xfId="263" xr:uid="{00000000-0005-0000-0000-00000E010000}"/>
    <cellStyle name="Normal 8 4" xfId="264" xr:uid="{00000000-0005-0000-0000-00000F010000}"/>
    <cellStyle name="Normal 9" xfId="265" xr:uid="{00000000-0005-0000-0000-000010010000}"/>
    <cellStyle name="Normal 9 2" xfId="266" xr:uid="{00000000-0005-0000-0000-000011010000}"/>
    <cellStyle name="Normal 9 3" xfId="267" xr:uid="{00000000-0005-0000-0000-000012010000}"/>
    <cellStyle name="Normal 9 4" xfId="268" xr:uid="{00000000-0005-0000-0000-000013010000}"/>
    <cellStyle name="Normal_21 Exh B" xfId="269" xr:uid="{00000000-0005-0000-0000-000014010000}"/>
    <cellStyle name="Normal_ADITAnalysisID090805" xfId="270" xr:uid="{00000000-0005-0000-0000-000015010000}"/>
    <cellStyle name="Normal_ADITAnalysisID090805 2" xfId="271" xr:uid="{00000000-0005-0000-0000-000016010000}"/>
    <cellStyle name="Normal_ADITAnalysisID090805 2 2" xfId="272" xr:uid="{00000000-0005-0000-0000-000017010000}"/>
    <cellStyle name="Normal_ADITAnalysisID090805 2 3" xfId="363" xr:uid="{00000000-0005-0000-0000-000018010000}"/>
    <cellStyle name="Normal_ADITAnalysisID090805 3" xfId="273" xr:uid="{00000000-0005-0000-0000-000019010000}"/>
    <cellStyle name="Normal_ATC Projected 2008 Monthly Plant Balances for Attachment O 2 (2)" xfId="274" xr:uid="{00000000-0005-0000-0000-00001A010000}"/>
    <cellStyle name="Normal_AU Period 2 Rev 4-27-00" xfId="275" xr:uid="{00000000-0005-0000-0000-00001B010000}"/>
    <cellStyle name="Normal_Copy of PATH Formula Rate 2010 Projection Filed Sept 1, 2009 R1" xfId="276" xr:uid="{00000000-0005-0000-0000-00001C010000}"/>
    <cellStyle name="Normal_FN1 Ratebase Draft SPP template (6-11-04) v2" xfId="277" xr:uid="{00000000-0005-0000-0000-00001D010000}"/>
    <cellStyle name="Normal_I&amp;M-AK-1" xfId="278" xr:uid="{00000000-0005-0000-0000-00001E010000}"/>
    <cellStyle name="Normal_IM LTD Hedge Entries 2" xfId="279" xr:uid="{00000000-0005-0000-0000-00001F010000}"/>
    <cellStyle name="Normal_Revised 1-21-10  Deprec Summary" xfId="280" xr:uid="{00000000-0005-0000-0000-000020010000}"/>
    <cellStyle name="Normal_Schedule O Info for Mike" xfId="281" xr:uid="{00000000-0005-0000-0000-000021010000}"/>
    <cellStyle name="Normal_spp calc - revsd rev crd" xfId="282" xr:uid="{00000000-0005-0000-0000-000022010000}"/>
    <cellStyle name="Normal_spp calc - revsd rev crd 2" xfId="283" xr:uid="{00000000-0005-0000-0000-000023010000}"/>
    <cellStyle name="Normal_Worksheet Q Draft dwb edits" xfId="284" xr:uid="{00000000-0005-0000-0000-000024010000}"/>
    <cellStyle name="Note" xfId="285" builtinId="10" customBuiltin="1"/>
    <cellStyle name="Note 2" xfId="286" xr:uid="{00000000-0005-0000-0000-000026010000}"/>
    <cellStyle name="Output" xfId="287" builtinId="21" customBuiltin="1"/>
    <cellStyle name="Output 2" xfId="288" xr:uid="{00000000-0005-0000-0000-000028010000}"/>
    <cellStyle name="Percent" xfId="289" builtinId="5"/>
    <cellStyle name="Percent 11" xfId="368" xr:uid="{00000000-0005-0000-0000-00002A010000}"/>
    <cellStyle name="Percent 2" xfId="290" xr:uid="{00000000-0005-0000-0000-00002B010000}"/>
    <cellStyle name="Percent 2 2" xfId="291" xr:uid="{00000000-0005-0000-0000-00002C010000}"/>
    <cellStyle name="Percent 3" xfId="292" xr:uid="{00000000-0005-0000-0000-00002D010000}"/>
    <cellStyle name="Percent 3 2" xfId="293" xr:uid="{00000000-0005-0000-0000-00002E010000}"/>
    <cellStyle name="Percent 3 3" xfId="294" xr:uid="{00000000-0005-0000-0000-00002F010000}"/>
    <cellStyle name="Percent 3 3 2" xfId="295" xr:uid="{00000000-0005-0000-0000-000030010000}"/>
    <cellStyle name="Percent 3 3 3" xfId="296" xr:uid="{00000000-0005-0000-0000-000031010000}"/>
    <cellStyle name="Percent 3 4" xfId="297" xr:uid="{00000000-0005-0000-0000-000032010000}"/>
    <cellStyle name="Percent 3 4 2" xfId="298" xr:uid="{00000000-0005-0000-0000-000033010000}"/>
    <cellStyle name="Percent 3 4 3" xfId="299" xr:uid="{00000000-0005-0000-0000-000034010000}"/>
    <cellStyle name="Percent 3 5" xfId="300" xr:uid="{00000000-0005-0000-0000-000035010000}"/>
    <cellStyle name="Percent 3 5 2" xfId="301" xr:uid="{00000000-0005-0000-0000-000036010000}"/>
    <cellStyle name="Percent 3 5 3" xfId="302" xr:uid="{00000000-0005-0000-0000-000037010000}"/>
    <cellStyle name="Percent 3 6" xfId="303" xr:uid="{00000000-0005-0000-0000-000038010000}"/>
    <cellStyle name="Percent 3 6 2" xfId="304" xr:uid="{00000000-0005-0000-0000-000039010000}"/>
    <cellStyle name="Percent 3 7" xfId="305" xr:uid="{00000000-0005-0000-0000-00003A010000}"/>
    <cellStyle name="Percent 4" xfId="364" xr:uid="{00000000-0005-0000-0000-00003B010000}"/>
    <cellStyle name="Percent 4 2" xfId="306" xr:uid="{00000000-0005-0000-0000-00003C010000}"/>
    <cellStyle name="Percent 4 3" xfId="307" xr:uid="{00000000-0005-0000-0000-00003D010000}"/>
    <cellStyle name="Percent 4 3 2" xfId="308" xr:uid="{00000000-0005-0000-0000-00003E010000}"/>
    <cellStyle name="Percent 4 3 3" xfId="309" xr:uid="{00000000-0005-0000-0000-00003F010000}"/>
    <cellStyle name="Percent 4 4" xfId="310" xr:uid="{00000000-0005-0000-0000-000040010000}"/>
    <cellStyle name="Percent 5 2" xfId="311" xr:uid="{00000000-0005-0000-0000-000041010000}"/>
    <cellStyle name="Percent 6" xfId="312" xr:uid="{00000000-0005-0000-0000-000042010000}"/>
    <cellStyle name="Percent 7" xfId="313" xr:uid="{00000000-0005-0000-0000-000043010000}"/>
    <cellStyle name="Percent 8" xfId="314" xr:uid="{00000000-0005-0000-0000-000044010000}"/>
    <cellStyle name="PSChar" xfId="315" xr:uid="{00000000-0005-0000-0000-000045010000}"/>
    <cellStyle name="PSDate" xfId="316" xr:uid="{00000000-0005-0000-0000-000046010000}"/>
    <cellStyle name="PSDec" xfId="317" xr:uid="{00000000-0005-0000-0000-000047010000}"/>
    <cellStyle name="PSdesc" xfId="318" xr:uid="{00000000-0005-0000-0000-000048010000}"/>
    <cellStyle name="PSHeading" xfId="319" xr:uid="{00000000-0005-0000-0000-000049010000}"/>
    <cellStyle name="PSInt" xfId="320" xr:uid="{00000000-0005-0000-0000-00004A010000}"/>
    <cellStyle name="PSSpacer" xfId="321" xr:uid="{00000000-0005-0000-0000-00004B010000}"/>
    <cellStyle name="PStest" xfId="322" xr:uid="{00000000-0005-0000-0000-00004C010000}"/>
    <cellStyle name="R00A" xfId="323" xr:uid="{00000000-0005-0000-0000-00004D010000}"/>
    <cellStyle name="R00B" xfId="324" xr:uid="{00000000-0005-0000-0000-00004E010000}"/>
    <cellStyle name="R00L" xfId="325" xr:uid="{00000000-0005-0000-0000-00004F010000}"/>
    <cellStyle name="R01A" xfId="326" xr:uid="{00000000-0005-0000-0000-000050010000}"/>
    <cellStyle name="R01B" xfId="327" xr:uid="{00000000-0005-0000-0000-000051010000}"/>
    <cellStyle name="R01H" xfId="328" xr:uid="{00000000-0005-0000-0000-000052010000}"/>
    <cellStyle name="R01L" xfId="329" xr:uid="{00000000-0005-0000-0000-000053010000}"/>
    <cellStyle name="R02A" xfId="330" xr:uid="{00000000-0005-0000-0000-000054010000}"/>
    <cellStyle name="R02B" xfId="331" xr:uid="{00000000-0005-0000-0000-000055010000}"/>
    <cellStyle name="R02H" xfId="332" xr:uid="{00000000-0005-0000-0000-000056010000}"/>
    <cellStyle name="R02L" xfId="333" xr:uid="{00000000-0005-0000-0000-000057010000}"/>
    <cellStyle name="R03A" xfId="334" xr:uid="{00000000-0005-0000-0000-000058010000}"/>
    <cellStyle name="R03B" xfId="335" xr:uid="{00000000-0005-0000-0000-000059010000}"/>
    <cellStyle name="R03H" xfId="336" xr:uid="{00000000-0005-0000-0000-00005A010000}"/>
    <cellStyle name="R03L" xfId="337" xr:uid="{00000000-0005-0000-0000-00005B010000}"/>
    <cellStyle name="R04A" xfId="338" xr:uid="{00000000-0005-0000-0000-00005C010000}"/>
    <cellStyle name="R04B" xfId="339" xr:uid="{00000000-0005-0000-0000-00005D010000}"/>
    <cellStyle name="R04H" xfId="340" xr:uid="{00000000-0005-0000-0000-00005E010000}"/>
    <cellStyle name="R04L" xfId="341" xr:uid="{00000000-0005-0000-0000-00005F010000}"/>
    <cellStyle name="R05A" xfId="342" xr:uid="{00000000-0005-0000-0000-000060010000}"/>
    <cellStyle name="R05B" xfId="343" xr:uid="{00000000-0005-0000-0000-000061010000}"/>
    <cellStyle name="R05H" xfId="344" xr:uid="{00000000-0005-0000-0000-000062010000}"/>
    <cellStyle name="R05L" xfId="345" xr:uid="{00000000-0005-0000-0000-000063010000}"/>
    <cellStyle name="R06A" xfId="346" xr:uid="{00000000-0005-0000-0000-000064010000}"/>
    <cellStyle name="R06B" xfId="347" xr:uid="{00000000-0005-0000-0000-000065010000}"/>
    <cellStyle name="R06H" xfId="348" xr:uid="{00000000-0005-0000-0000-000066010000}"/>
    <cellStyle name="R06L" xfId="349" xr:uid="{00000000-0005-0000-0000-000067010000}"/>
    <cellStyle name="R07A" xfId="350" xr:uid="{00000000-0005-0000-0000-000068010000}"/>
    <cellStyle name="R07B" xfId="351" xr:uid="{00000000-0005-0000-0000-000069010000}"/>
    <cellStyle name="R07H" xfId="352" xr:uid="{00000000-0005-0000-0000-00006A010000}"/>
    <cellStyle name="R07L" xfId="353" xr:uid="{00000000-0005-0000-0000-00006B010000}"/>
    <cellStyle name="Title" xfId="354" builtinId="15" customBuiltin="1"/>
    <cellStyle name="Title 2" xfId="355" xr:uid="{00000000-0005-0000-0000-00006D010000}"/>
    <cellStyle name="Total" xfId="356" builtinId="25" customBuiltin="1"/>
    <cellStyle name="Total 2" xfId="357" xr:uid="{00000000-0005-0000-0000-00006F010000}"/>
    <cellStyle name="Warning Text" xfId="358" builtinId="11" customBuiltin="1"/>
    <cellStyle name="Warning Text 2" xfId="359" xr:uid="{00000000-0005-0000-0000-000071010000}"/>
  </cellStyles>
  <dxfs count="2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TCJA%20of%202017%20%20Impacts%20(ORDER%20864)\PJM%20Compliance%20Filing%204-2022\Attachment%2019%20-%20Indiana%20Michigan%20Transmission%20Compan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B ADIT &amp; ITC"/>
      <sheetName val="WS B-1 - Actual Stmt. AF"/>
      <sheetName val="WS B-2 - Actual Stmt. AG"/>
      <sheetName val="WS B-3 Ex&amp;Def ADIT"/>
      <sheetName val="WS B-3-A Remeas Suprt"/>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N - Sale of Plant Held"/>
      <sheetName val="Worksheet O"/>
      <sheetName val="WS P Dep. Rates"/>
      <sheetName val="WS Q Cap Structure"/>
      <sheetName val="WS R Interest"/>
      <sheetName val="WS R Interest(2)"/>
    </sheetNames>
    <sheetDataSet>
      <sheetData sheetId="0">
        <row r="82">
          <cell r="J82">
            <v>0.99859449345713813</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1228"/>
  <sheetViews>
    <sheetView tabSelected="1" view="pageBreakPreview" zoomScale="70" zoomScaleNormal="70" zoomScaleSheetLayoutView="70" zoomScalePageLayoutView="50" workbookViewId="0">
      <selection activeCell="D6" sqref="D6"/>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21.85546875" style="155" customWidth="1"/>
    <col min="15" max="15" width="11.42578125" style="155" customWidth="1"/>
    <col min="16" max="16" width="20.5703125" style="155" bestFit="1" customWidth="1"/>
    <col min="17" max="16384" width="11.42578125" style="155"/>
  </cols>
  <sheetData>
    <row r="1" spans="1:14" ht="15.75">
      <c r="A1" s="995" t="s">
        <v>416</v>
      </c>
    </row>
    <row r="2" spans="1:14" ht="15.75">
      <c r="A2" s="995" t="s">
        <v>416</v>
      </c>
    </row>
    <row r="3" spans="1:14" ht="15.75">
      <c r="D3" s="156"/>
      <c r="E3" s="157"/>
      <c r="F3" s="157"/>
      <c r="G3" s="158"/>
      <c r="I3" s="159"/>
      <c r="J3" s="159"/>
      <c r="K3" s="159"/>
      <c r="L3" s="160"/>
      <c r="N3" s="155" t="s">
        <v>416</v>
      </c>
    </row>
    <row r="4" spans="1:14">
      <c r="I4" s="155" t="s">
        <v>556</v>
      </c>
      <c r="L4" s="412">
        <v>2022</v>
      </c>
    </row>
    <row r="5" spans="1:14">
      <c r="D5" s="162"/>
      <c r="E5" s="162"/>
      <c r="F5" s="163" t="s">
        <v>331</v>
      </c>
      <c r="G5" s="164"/>
      <c r="H5" s="164"/>
      <c r="J5" s="162"/>
      <c r="K5" s="165"/>
      <c r="L5" s="165"/>
      <c r="M5" s="166"/>
    </row>
    <row r="6" spans="1:14">
      <c r="D6" s="162"/>
      <c r="E6" s="167"/>
      <c r="F6" s="163" t="s">
        <v>205</v>
      </c>
      <c r="G6" s="164"/>
      <c r="H6" s="164"/>
      <c r="J6" s="167"/>
      <c r="K6" s="165"/>
      <c r="L6" s="165"/>
      <c r="M6" s="166"/>
    </row>
    <row r="7" spans="1:14">
      <c r="D7" s="165"/>
      <c r="E7" s="165"/>
      <c r="F7" s="168" t="str">
        <f>"Utilizing  Actual/Projected FERC Form 1 Data"</f>
        <v>Utilizing  Actual/Projected FERC Form 1 Data</v>
      </c>
      <c r="G7" s="164"/>
      <c r="H7" s="164"/>
      <c r="J7" s="165"/>
      <c r="K7" s="165"/>
      <c r="L7" s="165"/>
      <c r="M7" s="166"/>
    </row>
    <row r="8" spans="1:14">
      <c r="B8" s="169"/>
      <c r="C8" s="170"/>
      <c r="D8" s="165"/>
      <c r="H8" s="171"/>
      <c r="I8" s="171"/>
      <c r="J8" s="171"/>
      <c r="K8" s="171"/>
      <c r="L8" s="165"/>
      <c r="M8" s="165"/>
    </row>
    <row r="9" spans="1:14" ht="15.75">
      <c r="B9" s="169"/>
      <c r="C9" s="170"/>
      <c r="D9" s="172"/>
      <c r="E9" s="165"/>
      <c r="F9" s="173" t="s">
        <v>803</v>
      </c>
      <c r="G9" s="174"/>
      <c r="H9" s="165"/>
      <c r="I9" s="165"/>
      <c r="J9" s="165"/>
      <c r="K9" s="165"/>
      <c r="L9" s="172"/>
      <c r="M9" s="165"/>
    </row>
    <row r="10" spans="1:14">
      <c r="B10" s="169"/>
      <c r="C10" s="170"/>
      <c r="D10" s="165"/>
      <c r="E10" s="165"/>
      <c r="F10" s="175"/>
      <c r="G10" s="174"/>
      <c r="H10" s="165"/>
      <c r="I10" s="165"/>
      <c r="J10" s="165"/>
      <c r="K10" s="165"/>
      <c r="L10" s="172"/>
      <c r="M10" s="165"/>
    </row>
    <row r="11" spans="1:14">
      <c r="B11" s="169" t="s">
        <v>469</v>
      </c>
      <c r="C11" s="170"/>
      <c r="D11" s="165"/>
      <c r="E11" s="165"/>
      <c r="F11" s="165"/>
      <c r="G11" s="174"/>
      <c r="H11" s="165"/>
      <c r="I11" s="165"/>
      <c r="J11" s="165"/>
      <c r="K11" s="165"/>
      <c r="L11" s="170" t="s">
        <v>417</v>
      </c>
      <c r="M11" s="165"/>
    </row>
    <row r="12" spans="1:14" ht="15.75" thickBot="1">
      <c r="B12" s="176" t="s">
        <v>419</v>
      </c>
      <c r="C12" s="177"/>
      <c r="D12" s="165"/>
      <c r="E12" s="177"/>
      <c r="F12" s="165"/>
      <c r="G12" s="165"/>
      <c r="H12" s="165"/>
      <c r="I12" s="165"/>
      <c r="J12" s="165"/>
      <c r="K12" s="165"/>
      <c r="L12" s="178" t="s">
        <v>470</v>
      </c>
      <c r="M12" s="165"/>
    </row>
    <row r="13" spans="1:14">
      <c r="B13" s="169">
        <v>1</v>
      </c>
      <c r="C13" s="170"/>
      <c r="D13" s="179" t="s">
        <v>413</v>
      </c>
      <c r="E13" s="180" t="str">
        <f>"(ln "&amp;B191&amp;")"</f>
        <v>(ln 113)</v>
      </c>
      <c r="F13" s="180"/>
      <c r="G13" s="181"/>
      <c r="H13" s="182"/>
      <c r="I13" s="165"/>
      <c r="J13" s="165"/>
      <c r="K13" s="165"/>
      <c r="L13" s="183">
        <f>+L191</f>
        <v>413056164.43384409</v>
      </c>
      <c r="M13" s="183"/>
    </row>
    <row r="14" spans="1:14" ht="15.75" thickBot="1">
      <c r="B14" s="169"/>
      <c r="C14" s="170"/>
      <c r="E14" s="184"/>
      <c r="F14" s="185"/>
      <c r="G14" s="178" t="s">
        <v>420</v>
      </c>
      <c r="H14" s="167"/>
      <c r="I14" s="186" t="s">
        <v>421</v>
      </c>
      <c r="J14" s="186"/>
      <c r="K14" s="165"/>
      <c r="L14" s="181"/>
      <c r="M14" s="165"/>
    </row>
    <row r="15" spans="1:14">
      <c r="B15" s="169">
        <f>+B13+1</f>
        <v>2</v>
      </c>
      <c r="C15" s="170"/>
      <c r="D15" s="187" t="s">
        <v>468</v>
      </c>
      <c r="E15" s="184" t="str">
        <f>"(Worksheet E,  ln  "&amp;'WS E Rev Credits'!A31&amp;") (Note A) "</f>
        <v xml:space="preserve">(Worksheet E,  ln  8) (Note A) </v>
      </c>
      <c r="F15" s="185"/>
      <c r="G15" s="188">
        <f>+'WS E Rev Credits'!K31</f>
        <v>1139491.716</v>
      </c>
      <c r="H15" s="185"/>
      <c r="I15" s="189" t="s">
        <v>430</v>
      </c>
      <c r="J15" s="190">
        <v>1</v>
      </c>
      <c r="K15" s="167"/>
      <c r="L15" s="191">
        <f>+J15*G15</f>
        <v>1139491.716</v>
      </c>
      <c r="M15" s="1397"/>
    </row>
    <row r="16" spans="1:14">
      <c r="B16" s="169"/>
      <c r="C16" s="170"/>
      <c r="D16" s="187"/>
      <c r="E16" s="184"/>
      <c r="F16" s="185"/>
      <c r="G16" s="188"/>
      <c r="H16" s="185"/>
      <c r="I16" s="189"/>
      <c r="J16" s="190"/>
      <c r="K16" s="167"/>
      <c r="L16" s="191"/>
      <c r="M16" s="165"/>
    </row>
    <row r="17" spans="2:13">
      <c r="B17" s="192">
        <f>+B15+1</f>
        <v>3</v>
      </c>
      <c r="C17" s="170"/>
      <c r="D17" s="187" t="s">
        <v>557</v>
      </c>
      <c r="E17" s="155" t="str">
        <f>"Worksheet E, ln "&amp;'WS E Rev Credits'!A33&amp;") (Note X) "</f>
        <v xml:space="preserve">Worksheet E, ln 9) (Note X) </v>
      </c>
      <c r="F17" s="167"/>
      <c r="L17" s="161">
        <f>'WS E Rev Credits'!K33</f>
        <v>0</v>
      </c>
      <c r="M17" s="165"/>
    </row>
    <row r="18" spans="2:13" ht="30.75" thickBot="1">
      <c r="B18" s="192">
        <f>+B17+1</f>
        <v>4</v>
      </c>
      <c r="C18" s="193"/>
      <c r="D18" s="194" t="s">
        <v>254</v>
      </c>
      <c r="E18" s="195" t="str">
        <f>"(ln "&amp;B13&amp;"  less ln " &amp;B15&amp;" plus ln 3)"</f>
        <v>(ln 1  less ln 2 plus ln 3)</v>
      </c>
      <c r="F18" s="165"/>
      <c r="H18" s="167"/>
      <c r="I18" s="196"/>
      <c r="J18" s="167"/>
      <c r="K18" s="167"/>
      <c r="L18" s="197">
        <f>+L13-L15+L17</f>
        <v>411916672.71784407</v>
      </c>
      <c r="M18" s="613"/>
    </row>
    <row r="19" spans="2:13" ht="15.75" thickTop="1">
      <c r="B19" s="192"/>
      <c r="C19" s="193"/>
      <c r="D19" s="187"/>
      <c r="E19" s="195"/>
      <c r="F19" s="165"/>
      <c r="H19" s="167"/>
      <c r="I19" s="196"/>
      <c r="J19" s="167"/>
      <c r="K19" s="167"/>
      <c r="L19" s="198"/>
      <c r="M19" s="165"/>
    </row>
    <row r="20" spans="2:13">
      <c r="B20" s="192"/>
      <c r="C20" s="193"/>
      <c r="D20" s="187"/>
      <c r="E20" s="195"/>
      <c r="F20" s="165"/>
      <c r="H20" s="167"/>
      <c r="I20" s="196"/>
      <c r="J20" s="167"/>
      <c r="K20" s="167"/>
      <c r="L20" s="198"/>
      <c r="M20" s="165"/>
    </row>
    <row r="21" spans="2:13" ht="15" customHeight="1">
      <c r="B21" s="1490"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90"/>
      <c r="D21" s="1490"/>
      <c r="E21" s="1490"/>
      <c r="F21" s="1490"/>
      <c r="G21" s="1490"/>
      <c r="H21" s="1490"/>
      <c r="I21" s="1490"/>
    </row>
    <row r="22" spans="2:13" ht="35.25" customHeight="1">
      <c r="B22" s="1490"/>
      <c r="C22" s="1490"/>
      <c r="D22" s="1490"/>
      <c r="E22" s="1490"/>
      <c r="F22" s="1490"/>
      <c r="G22" s="1490"/>
      <c r="H22" s="1490"/>
      <c r="I22" s="1490"/>
    </row>
    <row r="23" spans="2:13" ht="15" customHeight="1">
      <c r="B23" s="199"/>
      <c r="C23" s="199"/>
      <c r="D23" s="199"/>
      <c r="E23" s="199"/>
      <c r="F23" s="199"/>
      <c r="G23" s="199"/>
      <c r="H23" s="199"/>
      <c r="I23" s="199"/>
    </row>
    <row r="24" spans="2:13">
      <c r="B24" s="169">
        <f>+B18+1</f>
        <v>5</v>
      </c>
      <c r="C24" s="193"/>
      <c r="D24" s="200" t="s">
        <v>558</v>
      </c>
      <c r="E24" s="184"/>
      <c r="F24" s="185"/>
      <c r="G24" s="1230">
        <f>'WS K TRUE-UP RTEP RR'!N22</f>
        <v>48355529.187410012</v>
      </c>
      <c r="H24" s="185"/>
      <c r="I24" s="189" t="s">
        <v>430</v>
      </c>
      <c r="J24" s="190">
        <v>1</v>
      </c>
      <c r="K24" s="180"/>
      <c r="L24" s="201">
        <f>+J24*G24</f>
        <v>48355529.187410012</v>
      </c>
      <c r="M24" s="613"/>
    </row>
    <row r="25" spans="2:13">
      <c r="B25" s="169"/>
      <c r="C25" s="193"/>
      <c r="D25" s="200"/>
      <c r="E25" s="195"/>
      <c r="F25" s="185"/>
      <c r="G25" s="202"/>
      <c r="H25" s="185"/>
      <c r="I25" s="185"/>
      <c r="J25" s="190"/>
      <c r="K25" s="180"/>
      <c r="L25" s="201"/>
      <c r="M25" s="165"/>
    </row>
    <row r="26" spans="2:13">
      <c r="B26" s="192">
        <f>+B24+1</f>
        <v>6</v>
      </c>
      <c r="C26" s="193"/>
      <c r="D26" s="200" t="s">
        <v>178</v>
      </c>
      <c r="E26" s="184"/>
      <c r="F26" s="165"/>
      <c r="G26" s="203"/>
      <c r="H26" s="165"/>
      <c r="J26" s="165"/>
      <c r="K26" s="165"/>
      <c r="M26" s="613"/>
    </row>
    <row r="27" spans="2:13">
      <c r="B27" s="169">
        <f>B26+1</f>
        <v>7</v>
      </c>
      <c r="C27" s="193"/>
      <c r="D27" s="204" t="s">
        <v>50</v>
      </c>
      <c r="E27" s="180" t="str">
        <f>"( (ln "&amp;B13&amp;"- ln "&amp;B150&amp;")/((ln "&amp;$B$79&amp;" ) x 100) )"</f>
        <v>( (ln 1- ln 80)/((ln 33 ) x 100) )</v>
      </c>
      <c r="F27" s="170"/>
      <c r="G27" s="170"/>
      <c r="H27" s="170"/>
      <c r="I27" s="205"/>
      <c r="J27" s="205"/>
      <c r="K27" s="205"/>
      <c r="L27" s="206">
        <f>IF((L79)=0,0,(L13-L150)/(L79))</f>
        <v>0.14485814058763988</v>
      </c>
      <c r="M27" s="165"/>
    </row>
    <row r="28" spans="2:13">
      <c r="B28" s="169">
        <f>B27+1</f>
        <v>8</v>
      </c>
      <c r="C28" s="193"/>
      <c r="D28" s="204" t="s">
        <v>51</v>
      </c>
      <c r="E28" s="180" t="str">
        <f>"(ln "&amp;B27&amp;" / 12)"</f>
        <v>(ln 7 / 12)</v>
      </c>
      <c r="F28" s="170"/>
      <c r="G28" s="170"/>
      <c r="H28" s="170"/>
      <c r="I28" s="205"/>
      <c r="J28" s="205"/>
      <c r="K28" s="205"/>
      <c r="L28" s="207">
        <f>L27/12</f>
        <v>1.2071511715636656E-2</v>
      </c>
      <c r="M28" s="165"/>
    </row>
    <row r="29" spans="2:13">
      <c r="B29" s="169"/>
      <c r="C29" s="193"/>
      <c r="D29" s="204"/>
      <c r="E29" s="180"/>
      <c r="F29" s="170"/>
      <c r="G29" s="170"/>
      <c r="H29" s="170"/>
      <c r="I29" s="205"/>
      <c r="J29" s="205"/>
      <c r="K29" s="205"/>
      <c r="L29" s="207"/>
      <c r="M29" s="165"/>
    </row>
    <row r="30" spans="2:13">
      <c r="B30" s="169">
        <f>B28+1</f>
        <v>9</v>
      </c>
      <c r="C30" s="193"/>
      <c r="D30" s="200" t="str">
        <f>"NET PLANT CARRYING CHARGE ON LINE "&amp;B27&amp;" , w/o depreciation or ROE incentives (Note B)"</f>
        <v>NET PLANT CARRYING CHARGE ON LINE 7 , w/o depreciation or ROE incentives (Note B)</v>
      </c>
      <c r="E30" s="180"/>
      <c r="F30" s="170"/>
      <c r="G30" s="170"/>
      <c r="H30" s="170"/>
      <c r="I30" s="205"/>
      <c r="J30" s="205"/>
      <c r="K30" s="205"/>
      <c r="L30" s="207"/>
      <c r="M30" s="165"/>
    </row>
    <row r="31" spans="2:13">
      <c r="B31" s="169">
        <f>B30+1</f>
        <v>10</v>
      </c>
      <c r="C31" s="193"/>
      <c r="D31" s="204" t="s">
        <v>50</v>
      </c>
      <c r="E31" s="180" t="str">
        <f>"( (ln "&amp;B13&amp;"- ln "&amp;B150&amp;" - ln "&amp;B154&amp;")/((ln "&amp;$B$79&amp;") x 100) )"</f>
        <v>( (ln 1- ln 80 - ln 83)/((ln 33) x 100) )</v>
      </c>
      <c r="F31" s="170"/>
      <c r="G31" s="170"/>
      <c r="H31" s="170"/>
      <c r="I31" s="205"/>
      <c r="J31" s="205"/>
      <c r="K31" s="205"/>
      <c r="L31" s="206">
        <f>IF(L79=0,0,(L13-L150-L154)/L79)</f>
        <v>0.11486185889303469</v>
      </c>
      <c r="M31" s="165"/>
    </row>
    <row r="32" spans="2:13">
      <c r="B32" s="169"/>
      <c r="C32" s="193"/>
      <c r="D32" s="204"/>
      <c r="E32" s="180"/>
      <c r="F32" s="170"/>
      <c r="G32" s="170"/>
      <c r="H32" s="170"/>
      <c r="I32" s="205"/>
      <c r="J32" s="205"/>
      <c r="K32" s="205"/>
      <c r="L32" s="207"/>
      <c r="M32" s="165"/>
    </row>
    <row r="33" spans="2:13">
      <c r="B33" s="169">
        <f>B31+1</f>
        <v>11</v>
      </c>
      <c r="C33" s="193"/>
      <c r="D33" s="200" t="str">
        <f>"NET PLANT CARRYING CHARGE ON LINE "&amp;B31&amp;", w/o Return, income taxes or ROE incentives (Note B)"</f>
        <v>NET PLANT CARRYING CHARGE ON LINE 10, w/o Return, income taxes or ROE incentives (Note B)</v>
      </c>
      <c r="E33" s="180"/>
      <c r="F33" s="208"/>
      <c r="G33" s="208"/>
      <c r="H33" s="208"/>
      <c r="I33" s="208"/>
      <c r="J33" s="208"/>
      <c r="K33" s="208"/>
      <c r="L33" s="208"/>
      <c r="M33" s="172"/>
    </row>
    <row r="34" spans="2:13">
      <c r="B34" s="169">
        <f>B33+1</f>
        <v>12</v>
      </c>
      <c r="C34" s="193"/>
      <c r="D34" s="162" t="s">
        <v>50</v>
      </c>
      <c r="E34" s="180" t="str">
        <f>"( (ln "&amp;B13&amp;" - ln "&amp;B150&amp;" - ln "&amp;B154&amp;" - ln "&amp;B181&amp;" - ln "&amp;B183&amp;") /((ln "&amp;$B$79&amp;") x 100) )"</f>
        <v>( (ln 1 - ln 80 - ln 83 - ln 108 - ln 109) /((ln 33) x 100) )</v>
      </c>
      <c r="F34" s="208"/>
      <c r="G34" s="208"/>
      <c r="H34" s="208"/>
      <c r="I34" s="208"/>
      <c r="J34" s="208"/>
      <c r="K34" s="208"/>
      <c r="L34" s="209">
        <f>IF(L79=0,0,(L13-L150-L154-L181-L183)/L79)</f>
        <v>2.6482499433654536E-2</v>
      </c>
      <c r="M34" s="172"/>
    </row>
    <row r="35" spans="2:13">
      <c r="B35" s="169"/>
      <c r="C35" s="193"/>
      <c r="D35" s="162"/>
      <c r="E35" s="180"/>
      <c r="F35" s="170"/>
      <c r="G35" s="170"/>
      <c r="H35" s="170"/>
      <c r="I35" s="205"/>
      <c r="J35" s="205"/>
      <c r="K35" s="205"/>
      <c r="L35" s="206"/>
      <c r="M35" s="210"/>
    </row>
    <row r="36" spans="2:13">
      <c r="B36" s="169">
        <f>B34+1</f>
        <v>13</v>
      </c>
      <c r="C36" s="170"/>
      <c r="D36" s="211" t="s">
        <v>559</v>
      </c>
      <c r="E36" s="180"/>
      <c r="F36" s="170"/>
      <c r="G36" s="170"/>
      <c r="H36" s="170"/>
      <c r="I36" s="205"/>
      <c r="J36" s="205"/>
      <c r="K36" s="205"/>
      <c r="L36" s="410">
        <f>+'WS J PROJECTED RTEP RR'!O26</f>
        <v>0</v>
      </c>
      <c r="M36" s="165"/>
    </row>
    <row r="37" spans="2:13">
      <c r="B37" s="169"/>
      <c r="C37" s="170"/>
      <c r="E37" s="180"/>
      <c r="F37" s="170"/>
      <c r="G37" s="170"/>
      <c r="H37" s="170"/>
      <c r="I37" s="205"/>
      <c r="J37" s="205"/>
      <c r="K37" s="205"/>
      <c r="L37" s="206"/>
      <c r="M37" s="165"/>
    </row>
    <row r="38" spans="2:13">
      <c r="B38" s="155"/>
      <c r="C38" s="170"/>
      <c r="E38" s="180"/>
      <c r="F38" s="170"/>
      <c r="G38" s="170"/>
      <c r="H38" s="170"/>
      <c r="I38" s="205"/>
      <c r="J38" s="205"/>
      <c r="K38" s="205"/>
      <c r="L38" s="206"/>
      <c r="M38" s="165"/>
    </row>
    <row r="39" spans="2:13" ht="15.75">
      <c r="B39" s="169">
        <f>+B36+1</f>
        <v>14</v>
      </c>
      <c r="C39" s="170"/>
      <c r="D39" s="1496" t="s">
        <v>217</v>
      </c>
      <c r="E39" s="1496"/>
      <c r="F39" s="1496"/>
      <c r="G39" s="1496"/>
      <c r="H39" s="1496"/>
      <c r="I39" s="1496"/>
      <c r="J39" s="1496"/>
      <c r="K39" s="1496"/>
      <c r="L39" s="1496"/>
      <c r="M39" s="165"/>
    </row>
    <row r="40" spans="2:13">
      <c r="B40" s="169"/>
      <c r="C40" s="170"/>
      <c r="E40" s="180"/>
      <c r="F40" s="170"/>
      <c r="G40" s="170"/>
      <c r="H40" s="170"/>
      <c r="I40" s="205"/>
      <c r="J40" s="205"/>
      <c r="K40" s="205"/>
      <c r="L40" s="206"/>
      <c r="M40" s="165"/>
    </row>
    <row r="41" spans="2:13">
      <c r="B41" s="169">
        <f>+B39+1</f>
        <v>15</v>
      </c>
      <c r="C41" s="170"/>
      <c r="D41" s="179" t="s">
        <v>219</v>
      </c>
      <c r="E41" s="180" t="str">
        <f>"Line "&amp;B131&amp;" Below"</f>
        <v>Line 63 Below</v>
      </c>
      <c r="F41" s="170"/>
      <c r="H41" s="170"/>
      <c r="I41" s="205"/>
      <c r="J41" s="205"/>
      <c r="K41" s="205"/>
      <c r="L41" s="212">
        <f>+G131</f>
        <v>742711.58000000007</v>
      </c>
      <c r="M41" s="165"/>
    </row>
    <row r="42" spans="2:13">
      <c r="B42" s="169">
        <f>+B41+1</f>
        <v>16</v>
      </c>
      <c r="C42" s="170"/>
      <c r="D42" s="179" t="s">
        <v>284</v>
      </c>
      <c r="E42" s="165"/>
      <c r="F42" s="170"/>
      <c r="H42" s="170"/>
      <c r="I42" s="205"/>
      <c r="J42" s="205"/>
      <c r="K42" s="205"/>
      <c r="L42" s="144">
        <f>'WS F Misc Exp'!D28</f>
        <v>-0.02</v>
      </c>
      <c r="M42" s="165"/>
    </row>
    <row r="43" spans="2:13">
      <c r="B43" s="169">
        <f>+B42+1</f>
        <v>17</v>
      </c>
      <c r="C43" s="170"/>
      <c r="D43" s="179" t="s">
        <v>285</v>
      </c>
      <c r="E43" s="165"/>
      <c r="F43" s="170"/>
      <c r="H43" s="170"/>
      <c r="I43" s="205"/>
      <c r="J43" s="205"/>
      <c r="K43" s="205"/>
      <c r="L43" s="144">
        <f>'WS F Misc Exp'!D32</f>
        <v>0</v>
      </c>
      <c r="M43" s="165"/>
    </row>
    <row r="44" spans="2:13">
      <c r="B44" s="169"/>
      <c r="C44" s="170"/>
      <c r="E44" s="165"/>
      <c r="F44" s="170"/>
      <c r="H44" s="170"/>
      <c r="I44" s="205"/>
      <c r="J44" s="205"/>
      <c r="K44" s="205"/>
      <c r="L44" s="170"/>
      <c r="M44" s="165"/>
    </row>
    <row r="45" spans="2:13" ht="15.75" thickBot="1">
      <c r="B45" s="169">
        <f>+B43+1</f>
        <v>18</v>
      </c>
      <c r="C45" s="170"/>
      <c r="D45" s="179" t="s">
        <v>218</v>
      </c>
      <c r="E45" s="182" t="str">
        <f>"(Line "&amp;B41&amp;" - Line "&amp;B42&amp;" - Line "&amp;B43&amp;")"</f>
        <v>(Line 15 - Line 16 - Line 17)</v>
      </c>
      <c r="F45" s="170"/>
      <c r="H45" s="170"/>
      <c r="I45" s="205"/>
      <c r="J45" s="205"/>
      <c r="K45" s="205"/>
      <c r="L45" s="213">
        <f>+L41-L42-L43</f>
        <v>742711.60000000009</v>
      </c>
      <c r="M45" s="165"/>
    </row>
    <row r="46" spans="2:13" ht="15.75" thickTop="1">
      <c r="B46" s="169"/>
      <c r="C46" s="170"/>
      <c r="E46" s="180"/>
      <c r="F46" s="170"/>
      <c r="G46" s="170"/>
      <c r="H46" s="170"/>
      <c r="I46" s="205"/>
      <c r="J46" s="205"/>
      <c r="K46" s="205"/>
      <c r="L46" s="206"/>
      <c r="M46" s="165"/>
    </row>
    <row r="47" spans="2:13">
      <c r="B47" s="169"/>
      <c r="C47" s="170"/>
      <c r="E47" s="180"/>
      <c r="F47" s="170"/>
      <c r="G47" s="170"/>
      <c r="H47" s="170"/>
      <c r="I47" s="205"/>
      <c r="J47" s="205"/>
      <c r="K47" s="205"/>
      <c r="L47" s="206"/>
      <c r="M47" s="165"/>
    </row>
    <row r="48" spans="2:13">
      <c r="B48" s="169"/>
      <c r="C48" s="170"/>
      <c r="E48" s="180"/>
      <c r="F48" s="170"/>
      <c r="G48" s="170"/>
      <c r="H48" s="170"/>
      <c r="I48" s="205"/>
      <c r="J48" s="205"/>
      <c r="K48" s="205"/>
      <c r="L48" s="206"/>
      <c r="M48" s="165"/>
    </row>
    <row r="49" spans="2:14">
      <c r="D49" s="162"/>
      <c r="E49" s="162"/>
      <c r="G49" s="182"/>
      <c r="H49" s="162"/>
      <c r="I49" s="162"/>
      <c r="J49" s="162"/>
      <c r="K49" s="162"/>
      <c r="L49" s="162"/>
      <c r="M49" s="214"/>
    </row>
    <row r="50" spans="2:14">
      <c r="D50" s="162"/>
      <c r="E50" s="162"/>
      <c r="F50" s="170"/>
      <c r="G50" s="182"/>
      <c r="H50" s="162"/>
      <c r="I50" s="162"/>
      <c r="J50" s="162"/>
      <c r="K50" s="162"/>
      <c r="L50" s="162"/>
      <c r="M50" s="214"/>
      <c r="N50" s="215"/>
    </row>
    <row r="51" spans="2:14">
      <c r="D51" s="162"/>
      <c r="E51" s="162"/>
      <c r="F51" s="170" t="str">
        <f>F5</f>
        <v>AEPTCo subsidiaries in PJM</v>
      </c>
      <c r="G51" s="182"/>
      <c r="H51" s="162"/>
      <c r="I51" s="162"/>
      <c r="J51" s="162"/>
      <c r="K51" s="162"/>
      <c r="L51" s="162"/>
      <c r="M51" s="214"/>
      <c r="N51" s="215"/>
    </row>
    <row r="52" spans="2:14">
      <c r="D52" s="162"/>
      <c r="E52" s="167"/>
      <c r="F52" s="170" t="str">
        <f>F6</f>
        <v>Transmission Cost of Service Formula Rate</v>
      </c>
      <c r="G52" s="167"/>
      <c r="H52" s="167"/>
      <c r="I52" s="167"/>
      <c r="J52" s="167"/>
      <c r="K52" s="167"/>
      <c r="L52" s="167"/>
      <c r="M52" s="216"/>
      <c r="N52" s="217"/>
    </row>
    <row r="53" spans="2:14">
      <c r="D53" s="162"/>
      <c r="E53" s="167"/>
      <c r="F53" s="196" t="str">
        <f>F7</f>
        <v>Utilizing  Actual/Projected FERC Form 1 Data</v>
      </c>
      <c r="G53" s="167"/>
      <c r="H53" s="167"/>
      <c r="I53" s="167"/>
      <c r="J53" s="167"/>
      <c r="K53" s="167"/>
      <c r="L53" s="167"/>
      <c r="M53" s="218"/>
      <c r="N53" s="217"/>
    </row>
    <row r="54" spans="2:14">
      <c r="D54" s="162"/>
      <c r="E54" s="167"/>
      <c r="F54" s="170"/>
      <c r="G54" s="167"/>
      <c r="H54" s="167"/>
      <c r="I54" s="167"/>
      <c r="J54" s="167"/>
      <c r="K54" s="167"/>
      <c r="L54" s="167"/>
      <c r="M54" s="167"/>
      <c r="N54" s="217"/>
    </row>
    <row r="55" spans="2:14">
      <c r="D55" s="162"/>
      <c r="E55" s="167"/>
      <c r="F55" s="170" t="str">
        <f>F9</f>
        <v>AEP Indiana Michigan Transmission Company</v>
      </c>
      <c r="G55" s="167"/>
      <c r="H55" s="167"/>
      <c r="I55" s="167"/>
      <c r="J55" s="167"/>
      <c r="K55" s="167"/>
      <c r="L55" s="167"/>
      <c r="M55" s="167"/>
      <c r="N55" s="217"/>
    </row>
    <row r="56" spans="2:14">
      <c r="D56" s="162"/>
      <c r="E56" s="196"/>
      <c r="F56" s="196"/>
      <c r="G56" s="196"/>
      <c r="H56" s="196"/>
      <c r="I56" s="196"/>
      <c r="J56" s="196"/>
      <c r="K56" s="196"/>
      <c r="L56" s="167"/>
      <c r="M56" s="167"/>
      <c r="N56" s="217"/>
    </row>
    <row r="57" spans="2:14">
      <c r="D57" s="170" t="s">
        <v>423</v>
      </c>
      <c r="E57" s="170" t="s">
        <v>424</v>
      </c>
      <c r="F57" s="170"/>
      <c r="G57" s="170" t="s">
        <v>425</v>
      </c>
      <c r="H57" s="167" t="s">
        <v>416</v>
      </c>
      <c r="I57" s="1491" t="s">
        <v>426</v>
      </c>
      <c r="J57" s="1492"/>
      <c r="K57" s="167"/>
      <c r="L57" s="171" t="s">
        <v>427</v>
      </c>
      <c r="M57" s="167"/>
    </row>
    <row r="58" spans="2:14">
      <c r="B58" s="155"/>
      <c r="D58" s="208"/>
      <c r="E58" s="208"/>
      <c r="F58" s="208"/>
      <c r="G58" s="212"/>
      <c r="H58" s="167"/>
      <c r="I58" s="167"/>
      <c r="J58" s="220"/>
      <c r="K58" s="167"/>
      <c r="M58" s="167"/>
    </row>
    <row r="59" spans="2:14" ht="15.75">
      <c r="B59" s="221"/>
      <c r="C59" s="170"/>
      <c r="D59" s="208"/>
      <c r="E59" s="222" t="s">
        <v>396</v>
      </c>
      <c r="F59" s="223"/>
      <c r="G59" s="167"/>
      <c r="H59" s="167"/>
      <c r="I59" s="167"/>
      <c r="J59" s="170"/>
      <c r="K59" s="167"/>
      <c r="L59" s="224" t="s">
        <v>420</v>
      </c>
      <c r="M59" s="167"/>
      <c r="N59" s="215"/>
    </row>
    <row r="60" spans="2:14" ht="15.75">
      <c r="B60" s="155"/>
      <c r="C60" s="177"/>
      <c r="D60" s="225" t="s">
        <v>395</v>
      </c>
      <c r="E60" s="226" t="s">
        <v>414</v>
      </c>
      <c r="F60" s="167"/>
      <c r="G60" s="225" t="s">
        <v>382</v>
      </c>
      <c r="H60" s="227"/>
      <c r="I60" s="1493" t="s">
        <v>421</v>
      </c>
      <c r="J60" s="1494"/>
      <c r="K60" s="227"/>
      <c r="L60" s="225" t="s">
        <v>417</v>
      </c>
      <c r="M60" s="167"/>
    </row>
    <row r="61" spans="2:14">
      <c r="B61" s="228" t="str">
        <f>B11</f>
        <v>Line</v>
      </c>
      <c r="C61" s="170"/>
      <c r="D61" s="162"/>
      <c r="E61" s="167"/>
      <c r="F61" s="167"/>
      <c r="G61" s="229" t="s">
        <v>158</v>
      </c>
      <c r="H61" s="167"/>
      <c r="I61" s="167"/>
      <c r="J61" s="167"/>
      <c r="K61" s="167"/>
      <c r="L61" s="167"/>
      <c r="M61" s="167"/>
    </row>
    <row r="62" spans="2:14" ht="15.75" thickBot="1">
      <c r="B62" s="176" t="str">
        <f>B12</f>
        <v>No.</v>
      </c>
      <c r="C62" s="170"/>
      <c r="D62" s="162" t="s">
        <v>383</v>
      </c>
      <c r="E62" s="230"/>
      <c r="F62" s="230"/>
      <c r="G62" s="185"/>
      <c r="H62" s="185"/>
      <c r="I62" s="189"/>
      <c r="J62" s="185"/>
      <c r="K62" s="185"/>
      <c r="L62" s="185"/>
      <c r="M62" s="167"/>
    </row>
    <row r="63" spans="2:14">
      <c r="B63" s="169">
        <f>+B45+1</f>
        <v>19</v>
      </c>
      <c r="C63" s="232"/>
      <c r="D63" s="233" t="s">
        <v>429</v>
      </c>
      <c r="E63" s="185" t="str">
        <f>"(Worksheet A ln "&amp;'WS A - Rate Base Support'!A23&amp;"."&amp;'WS A - Rate Base Support'!C8 &amp;" &amp; Ln "&amp;B207&amp;")"</f>
        <v>(Worksheet A ln 14.(d) &amp; Ln 117)</v>
      </c>
      <c r="F63" s="234"/>
      <c r="G63" s="202">
        <f>'WS A - Rate Base Support'!C23</f>
        <v>3149500207.5915384</v>
      </c>
      <c r="H63" s="202"/>
      <c r="I63" s="235" t="s">
        <v>430</v>
      </c>
      <c r="J63" s="190">
        <v>1</v>
      </c>
      <c r="K63" s="236"/>
      <c r="L63" s="237">
        <f>+L207</f>
        <v>3114204438.5476923</v>
      </c>
      <c r="M63" s="238"/>
    </row>
    <row r="64" spans="2:14">
      <c r="B64" s="169">
        <f>+B63+1</f>
        <v>20</v>
      </c>
      <c r="C64" s="232"/>
      <c r="D64" s="239" t="s">
        <v>181</v>
      </c>
      <c r="E64" s="185" t="str">
        <f>"(Worksheet A ln "&amp;'WS A - Rate Base Support'!A23&amp;"."&amp;'WS A - Rate Base Support'!D8 &amp;")"</f>
        <v>(Worksheet A ln 14.(e))</v>
      </c>
      <c r="F64" s="234"/>
      <c r="G64" s="202">
        <f>'WS A - Rate Base Support'!D23</f>
        <v>0</v>
      </c>
      <c r="H64" s="202"/>
      <c r="I64" s="235" t="s">
        <v>422</v>
      </c>
      <c r="J64" s="190">
        <f>J134</f>
        <v>0.98879321583825608</v>
      </c>
      <c r="K64" s="236"/>
      <c r="L64" s="237">
        <f>+G64*J64</f>
        <v>0</v>
      </c>
      <c r="M64" s="238"/>
    </row>
    <row r="65" spans="2:13">
      <c r="B65" s="169">
        <f>+B64+1</f>
        <v>21</v>
      </c>
      <c r="C65" s="232"/>
      <c r="D65" s="162" t="s">
        <v>431</v>
      </c>
      <c r="E65" s="185" t="str">
        <f>"(Worksheet A ln "&amp;'WS A - Rate Base Support'!A23&amp;"."&amp;'WS A - Rate Base Support'!E8 &amp;")"</f>
        <v>(Worksheet A ln 14.(h))</v>
      </c>
      <c r="F65" s="185"/>
      <c r="G65" s="202">
        <f>'WS A - Rate Base Support'!E23</f>
        <v>57752804.338461533</v>
      </c>
      <c r="H65" s="202"/>
      <c r="I65" s="189" t="s">
        <v>432</v>
      </c>
      <c r="J65" s="190">
        <f>L219</f>
        <v>0.98879321583825608</v>
      </c>
      <c r="K65" s="185"/>
      <c r="L65" s="202">
        <f>+J65*G65</f>
        <v>57105581.125504971</v>
      </c>
      <c r="M65" s="167"/>
    </row>
    <row r="66" spans="2:13">
      <c r="B66" s="169">
        <f>+B65+1</f>
        <v>22</v>
      </c>
      <c r="C66" s="232"/>
      <c r="D66" s="240" t="s">
        <v>180</v>
      </c>
      <c r="E66" s="185" t="str">
        <f>"(Worksheet A ln "&amp;'WS A - Rate Base Support'!A23&amp;"."&amp;'WS A - Rate Base Support'!F8 &amp;")"</f>
        <v>(Worksheet A ln 14.(i))</v>
      </c>
      <c r="F66" s="185"/>
      <c r="G66" s="202">
        <f>'WS A - Rate Base Support'!F23</f>
        <v>0</v>
      </c>
      <c r="H66" s="202"/>
      <c r="I66" s="189" t="s">
        <v>432</v>
      </c>
      <c r="J66" s="190">
        <f>L219</f>
        <v>0.98879321583825608</v>
      </c>
      <c r="K66" s="185"/>
      <c r="L66" s="202">
        <f>+G66*J66</f>
        <v>0</v>
      </c>
      <c r="M66" s="167"/>
    </row>
    <row r="67" spans="2:13" ht="15.75" thickBot="1">
      <c r="B67" s="169">
        <f>+B66+1</f>
        <v>23</v>
      </c>
      <c r="C67" s="232"/>
      <c r="D67" s="162" t="s">
        <v>433</v>
      </c>
      <c r="E67" s="185" t="str">
        <f>"(Worksheet A ln "&amp;'WS A - Rate Base Support'!A23&amp;"."&amp;'WS A - Rate Base Support'!G8 &amp;")"</f>
        <v>(Worksheet A ln 14.(j))</v>
      </c>
      <c r="F67" s="185"/>
      <c r="G67" s="241">
        <f>'WS A - Rate Base Support'!G23</f>
        <v>32584889.593846157</v>
      </c>
      <c r="H67" s="202"/>
      <c r="I67" s="189" t="s">
        <v>432</v>
      </c>
      <c r="J67" s="190">
        <f>L219</f>
        <v>0.98879321583825608</v>
      </c>
      <c r="K67" s="185"/>
      <c r="L67" s="241">
        <f>+J67*G67</f>
        <v>32219717.769233666</v>
      </c>
      <c r="M67" s="167"/>
    </row>
    <row r="68" spans="2:13" ht="15.75">
      <c r="B68" s="169">
        <f>+B67+1</f>
        <v>24</v>
      </c>
      <c r="C68" s="232"/>
      <c r="D68" s="162" t="s">
        <v>381</v>
      </c>
      <c r="E68" s="185" t="str">
        <f>"(Sum of Lines: "&amp;B63&amp;" to "&amp;B67&amp;")"</f>
        <v>(Sum of Lines: 19 to 23)</v>
      </c>
      <c r="F68" s="242"/>
      <c r="G68" s="202">
        <f>SUM(G63:G67)</f>
        <v>3239837901.5238461</v>
      </c>
      <c r="H68" s="202"/>
      <c r="I68" s="243" t="s">
        <v>761</v>
      </c>
      <c r="J68" s="244">
        <f>IF(G68=0,0,L68/G68)</f>
        <v>0.98879321583825608</v>
      </c>
      <c r="K68" s="185"/>
      <c r="L68" s="202">
        <f>SUM(L63:L67)</f>
        <v>3203529737.442431</v>
      </c>
      <c r="M68" s="167"/>
    </row>
    <row r="69" spans="2:13" ht="15.75">
      <c r="B69" s="169"/>
      <c r="C69" s="170"/>
      <c r="D69" s="162"/>
      <c r="E69" s="1222"/>
      <c r="F69" s="242"/>
      <c r="G69" s="202"/>
      <c r="H69" s="202"/>
      <c r="I69" s="243" t="s">
        <v>508</v>
      </c>
      <c r="J69" s="245">
        <f>+IF(L63=0,0,L63/(G63))</f>
        <v>0.98879321583825608</v>
      </c>
      <c r="K69" s="185"/>
      <c r="L69" s="202"/>
      <c r="M69" s="167"/>
    </row>
    <row r="70" spans="2:13">
      <c r="B70" s="169">
        <f>+B68+1</f>
        <v>25</v>
      </c>
      <c r="C70" s="170"/>
      <c r="D70" s="162" t="s">
        <v>363</v>
      </c>
      <c r="E70" s="230"/>
      <c r="F70" s="230"/>
      <c r="G70" s="202"/>
      <c r="H70" s="246"/>
      <c r="I70" s="189"/>
      <c r="J70" s="247"/>
      <c r="K70" s="185"/>
      <c r="L70" s="202"/>
      <c r="M70" s="167"/>
    </row>
    <row r="71" spans="2:13" ht="15.75">
      <c r="B71" s="169">
        <f t="shared" ref="B71:B76" si="0">+B70+1</f>
        <v>26</v>
      </c>
      <c r="C71" s="232"/>
      <c r="D71" s="233" t="str">
        <f>D63</f>
        <v xml:space="preserve">  Transmission</v>
      </c>
      <c r="E71" s="185" t="str">
        <f>"(Worksheet A ln "&amp;'WS A - Rate Base Support'!A42&amp;"."&amp;'WS A - Rate Base Support'!C27 &amp;" &amp; Ln "&amp;'WS A - Rate Base Support'!A64&amp;"."&amp;'WS A - Rate Base Support'!C47&amp;")"</f>
        <v>(Worksheet A ln 28.(d) &amp; Ln 43.(b))</v>
      </c>
      <c r="F71" s="234"/>
      <c r="G71" s="237">
        <f>'WS A - Rate Base Support'!C42</f>
        <v>274653595.92692304</v>
      </c>
      <c r="H71" s="202"/>
      <c r="I71" s="1462" t="s">
        <v>430</v>
      </c>
      <c r="J71" s="1463">
        <f>IF(G71=0,1,L71/G71)</f>
        <v>0.9566652205423235</v>
      </c>
      <c r="K71" s="236"/>
      <c r="L71" s="202">
        <f>'WS A - Rate Base Support'!C64</f>
        <v>262751542.92017204</v>
      </c>
      <c r="M71" s="238"/>
    </row>
    <row r="72" spans="2:13" ht="15.75">
      <c r="B72" s="169">
        <f t="shared" si="0"/>
        <v>27</v>
      </c>
      <c r="C72" s="232"/>
      <c r="D72" s="240" t="s">
        <v>181</v>
      </c>
      <c r="E72" s="185" t="str">
        <f>"(Worksheet A ln "&amp;'WS A - Rate Base Support'!A42&amp;"."&amp;'WS A - Rate Base Support'!D27 &amp;")"</f>
        <v>(Worksheet A ln 28.(e))</v>
      </c>
      <c r="F72" s="234"/>
      <c r="G72" s="202">
        <f>'WS A - Rate Base Support'!D42</f>
        <v>0</v>
      </c>
      <c r="H72" s="202"/>
      <c r="I72" s="1462" t="s">
        <v>422</v>
      </c>
      <c r="J72" s="1464">
        <f>IF(I72="TP",L209,L71/G71)</f>
        <v>0.98879321583825608</v>
      </c>
      <c r="K72" s="236"/>
      <c r="L72" s="202">
        <f>+J72*G72</f>
        <v>0</v>
      </c>
      <c r="M72" s="238"/>
    </row>
    <row r="73" spans="2:13">
      <c r="B73" s="169">
        <f t="shared" si="0"/>
        <v>28</v>
      </c>
      <c r="C73" s="249"/>
      <c r="D73" s="204" t="str">
        <f>+D65</f>
        <v xml:space="preserve">  General Plant   </v>
      </c>
      <c r="E73" s="185" t="str">
        <f>"(Worksheet A ln "&amp;'WS A - Rate Base Support'!A42&amp;"."&amp;'WS A - Rate Base Support'!E27 &amp;")"</f>
        <v>(Worksheet A ln 28.(h))</v>
      </c>
      <c r="F73" s="185"/>
      <c r="G73" s="188">
        <f>'WS A - Rate Base Support'!E42</f>
        <v>3216055.8384615388</v>
      </c>
      <c r="H73" s="202"/>
      <c r="I73" s="189" t="s">
        <v>432</v>
      </c>
      <c r="J73" s="190">
        <f>L219</f>
        <v>0.98879321583825608</v>
      </c>
      <c r="K73" s="185"/>
      <c r="L73" s="202">
        <f>+J73*G73</f>
        <v>3180014.1948277839</v>
      </c>
      <c r="M73" s="167"/>
    </row>
    <row r="74" spans="2:13">
      <c r="B74" s="169">
        <f t="shared" si="0"/>
        <v>29</v>
      </c>
      <c r="C74" s="249"/>
      <c r="D74" s="240" t="s">
        <v>180</v>
      </c>
      <c r="E74" s="185" t="str">
        <f>"(Worksheet A ln "&amp;'WS A - Rate Base Support'!A42&amp;"."&amp;'WS A - Rate Base Support'!F27 &amp;")"</f>
        <v>(Worksheet A ln 28.(i))</v>
      </c>
      <c r="F74" s="185"/>
      <c r="G74" s="202">
        <f>'WS A - Rate Base Support'!F42</f>
        <v>0</v>
      </c>
      <c r="H74" s="202"/>
      <c r="I74" s="189" t="s">
        <v>432</v>
      </c>
      <c r="J74" s="190">
        <f>L219</f>
        <v>0.98879321583825608</v>
      </c>
      <c r="K74" s="185"/>
      <c r="L74" s="202">
        <f>+J74*G74</f>
        <v>0</v>
      </c>
      <c r="M74" s="167"/>
    </row>
    <row r="75" spans="2:13" ht="15.75" thickBot="1">
      <c r="B75" s="169">
        <f t="shared" si="0"/>
        <v>30</v>
      </c>
      <c r="C75" s="249"/>
      <c r="D75" s="204" t="str">
        <f>+D67</f>
        <v xml:space="preserve">  Intangible Plant</v>
      </c>
      <c r="E75" s="185" t="str">
        <f>"(Worksheet A ln "&amp;'WS A - Rate Base Support'!A42&amp;"."&amp;'WS A - Rate Base Support'!G27 &amp;")"</f>
        <v>(Worksheet A ln 28.(j))</v>
      </c>
      <c r="F75" s="185"/>
      <c r="G75" s="241">
        <f>'WS A - Rate Base Support'!G42</f>
        <v>13243658.450769229</v>
      </c>
      <c r="H75" s="202"/>
      <c r="I75" s="189" t="s">
        <v>432</v>
      </c>
      <c r="J75" s="190">
        <f>L219</f>
        <v>0.98879321583825608</v>
      </c>
      <c r="K75" s="185"/>
      <c r="L75" s="1145">
        <f>+J75*G75</f>
        <v>13095239.628999602</v>
      </c>
      <c r="M75" s="185"/>
    </row>
    <row r="76" spans="2:13">
      <c r="B76" s="169">
        <f t="shared" si="0"/>
        <v>31</v>
      </c>
      <c r="C76" s="249"/>
      <c r="D76" s="204" t="s">
        <v>380</v>
      </c>
      <c r="E76" s="185" t="str">
        <f>"(Sum of Lines: "&amp;B71&amp;" to "&amp;B75&amp;")"</f>
        <v>(Sum of Lines: 26 to 30)</v>
      </c>
      <c r="F76" s="250"/>
      <c r="G76" s="202">
        <f>SUM(G71:G75)</f>
        <v>291113310.2161538</v>
      </c>
      <c r="H76" s="202"/>
      <c r="I76" s="189"/>
      <c r="J76" s="185"/>
      <c r="K76" s="202"/>
      <c r="L76" s="202">
        <f>SUM(L71:L75)</f>
        <v>279026796.74399942</v>
      </c>
      <c r="M76" s="167"/>
    </row>
    <row r="77" spans="2:13">
      <c r="B77" s="169"/>
      <c r="C77" s="170"/>
      <c r="E77" s="251"/>
      <c r="F77" s="250"/>
      <c r="G77" s="202"/>
      <c r="H77" s="202"/>
      <c r="I77" s="189"/>
      <c r="J77" s="252"/>
      <c r="K77" s="185"/>
      <c r="L77" s="202"/>
      <c r="M77" s="167"/>
    </row>
    <row r="78" spans="2:13">
      <c r="B78" s="169">
        <f>+B76+1</f>
        <v>32</v>
      </c>
      <c r="C78" s="170"/>
      <c r="D78" s="162" t="s">
        <v>384</v>
      </c>
      <c r="E78" s="230"/>
      <c r="F78" s="230"/>
      <c r="G78" s="202"/>
      <c r="H78" s="202"/>
      <c r="I78" s="189"/>
      <c r="J78" s="185"/>
      <c r="K78" s="185"/>
      <c r="L78" s="202"/>
      <c r="M78" s="167"/>
    </row>
    <row r="79" spans="2:13">
      <c r="B79" s="253">
        <f>+B78+1</f>
        <v>33</v>
      </c>
      <c r="C79" s="232"/>
      <c r="D79" s="240" t="str">
        <f>+D71</f>
        <v xml:space="preserve">  Transmission</v>
      </c>
      <c r="E79" s="185" t="str">
        <f>" (ln "&amp;B63&amp;" + ln "&amp;B64&amp;" - ln "&amp;B71&amp;" - ln "&amp;B72&amp;")"</f>
        <v xml:space="preserve"> (ln 19 + ln 20 - ln 26 - ln 27)</v>
      </c>
      <c r="F79" s="185"/>
      <c r="G79" s="202">
        <f>+G63+G64-G71-G72</f>
        <v>2874846611.6646156</v>
      </c>
      <c r="H79" s="202"/>
      <c r="I79" s="189"/>
      <c r="J79" s="248"/>
      <c r="K79" s="185"/>
      <c r="L79" s="202">
        <f>+L63+L64-L71-L72</f>
        <v>2851452895.6275201</v>
      </c>
      <c r="M79" s="167"/>
    </row>
    <row r="80" spans="2:13">
      <c r="B80" s="169">
        <f>+B79+1</f>
        <v>34</v>
      </c>
      <c r="C80" s="232"/>
      <c r="D80" s="240" t="str">
        <f>+D73</f>
        <v xml:space="preserve">  General Plant   </v>
      </c>
      <c r="E80" s="185" t="str">
        <f>" (ln "&amp;B65&amp;" + ln "&amp;B66&amp;" - ln "&amp;B73&amp;" - ln "&amp;B74&amp;")"</f>
        <v xml:space="preserve"> (ln 21 + ln 22 - ln 28 - ln 29)</v>
      </c>
      <c r="F80" s="185"/>
      <c r="G80" s="202">
        <f>+G65+G66-G73-G74</f>
        <v>54536748.499999993</v>
      </c>
      <c r="H80" s="202"/>
      <c r="I80" s="189"/>
      <c r="J80" s="252"/>
      <c r="K80" s="185"/>
      <c r="L80" s="202">
        <f>+L65+L66-L73-L74</f>
        <v>53925566.93067719</v>
      </c>
      <c r="M80" s="167"/>
    </row>
    <row r="81" spans="2:13" ht="15.75" thickBot="1">
      <c r="B81" s="169">
        <f>+B80+1</f>
        <v>35</v>
      </c>
      <c r="C81" s="232"/>
      <c r="D81" s="240" t="str">
        <f>+D75</f>
        <v xml:space="preserve">  Intangible Plant</v>
      </c>
      <c r="E81" s="185" t="str">
        <f>" (ln "&amp;B67&amp;" - ln "&amp;B75&amp;")"</f>
        <v xml:space="preserve"> (ln 23 - ln 30)</v>
      </c>
      <c r="F81" s="185"/>
      <c r="G81" s="241">
        <f>+G67-G75</f>
        <v>19341231.143076926</v>
      </c>
      <c r="H81" s="202"/>
      <c r="I81" s="189"/>
      <c r="J81" s="252"/>
      <c r="K81" s="185"/>
      <c r="L81" s="241">
        <f>+L67-L75</f>
        <v>19124478.140234064</v>
      </c>
      <c r="M81" s="167"/>
    </row>
    <row r="82" spans="2:13" ht="15.75">
      <c r="B82" s="169">
        <f>+B81+1</f>
        <v>36</v>
      </c>
      <c r="C82" s="232"/>
      <c r="D82" s="240" t="s">
        <v>379</v>
      </c>
      <c r="E82" s="185" t="str">
        <f>"(Sum of Lines: "&amp;B79&amp;" to "&amp;B81&amp;")"</f>
        <v>(Sum of Lines: 33 to 35)</v>
      </c>
      <c r="F82" s="185"/>
      <c r="G82" s="202">
        <f>SUM(G79:G81)</f>
        <v>2948724591.3076925</v>
      </c>
      <c r="H82" s="202"/>
      <c r="I82" s="256" t="s">
        <v>762</v>
      </c>
      <c r="J82" s="244">
        <f>IF(G82=0,0,+L82/G82)</f>
        <v>0.99178571960207407</v>
      </c>
      <c r="K82" s="185"/>
      <c r="L82" s="202">
        <f>SUM(L79:L81)</f>
        <v>2924502940.6984315</v>
      </c>
      <c r="M82" s="167"/>
    </row>
    <row r="83" spans="2:13">
      <c r="B83" s="169"/>
      <c r="C83" s="170"/>
      <c r="D83" s="162"/>
      <c r="E83" s="185"/>
      <c r="F83" s="185"/>
      <c r="G83" s="202"/>
      <c r="H83" s="202"/>
      <c r="I83" s="160"/>
      <c r="J83" s="257"/>
      <c r="K83" s="185"/>
      <c r="L83" s="202"/>
      <c r="M83" s="167"/>
    </row>
    <row r="84" spans="2:13">
      <c r="B84" s="169"/>
      <c r="C84" s="170"/>
      <c r="G84" s="208"/>
      <c r="H84" s="208"/>
      <c r="I84" s="208"/>
      <c r="J84" s="208"/>
      <c r="K84" s="208"/>
      <c r="L84" s="208"/>
      <c r="M84" s="172"/>
    </row>
    <row r="85" spans="2:13">
      <c r="B85" s="169">
        <f>+B82+1</f>
        <v>37</v>
      </c>
      <c r="C85" s="170"/>
      <c r="D85" s="162" t="s">
        <v>131</v>
      </c>
      <c r="E85" s="185" t="s">
        <v>108</v>
      </c>
      <c r="F85" s="189"/>
      <c r="G85" s="208"/>
      <c r="H85" s="208"/>
      <c r="I85" s="208"/>
      <c r="J85" s="208"/>
      <c r="K85" s="208"/>
      <c r="L85" s="208"/>
      <c r="M85" s="172"/>
    </row>
    <row r="86" spans="2:13">
      <c r="B86" s="169">
        <f t="shared" ref="B86:B91" si="1">+B85+1</f>
        <v>38</v>
      </c>
      <c r="C86" s="232"/>
      <c r="D86" s="239" t="s">
        <v>485</v>
      </c>
      <c r="E86" s="185" t="str">
        <f>"(Worksheet B, ln "&amp;'WS B ADIT &amp; ITC'!A17&amp;" &amp; ln "&amp;'WS B ADIT &amp; ITC'!A20&amp;".E)"</f>
        <v>(Worksheet B, ln 2 &amp; ln 5.E)</v>
      </c>
      <c r="F86" s="185"/>
      <c r="G86" s="202">
        <f>'WS B ADIT &amp; ITC'!I17</f>
        <v>0</v>
      </c>
      <c r="H86" s="202"/>
      <c r="I86" s="189" t="s">
        <v>428</v>
      </c>
      <c r="J86" s="190"/>
      <c r="K86" s="185"/>
      <c r="L86" s="202">
        <f>'WS B ADIT &amp; ITC'!I20</f>
        <v>0</v>
      </c>
      <c r="M86" s="167"/>
    </row>
    <row r="87" spans="2:13">
      <c r="B87" s="169">
        <f t="shared" si="1"/>
        <v>39</v>
      </c>
      <c r="C87" s="232"/>
      <c r="D87" s="239" t="s">
        <v>486</v>
      </c>
      <c r="E87" s="185" t="str">
        <f>"(Worksheet B, ln "&amp;'WS B ADIT &amp; ITC'!A25&amp;" &amp; ln "&amp;'WS B ADIT &amp; ITC'!A28&amp;".E)"</f>
        <v>(Worksheet B, ln 7 &amp; ln 10.E)</v>
      </c>
      <c r="F87" s="185"/>
      <c r="G87" s="202">
        <f>-'WS B ADIT &amp; ITC'!I25</f>
        <v>-354928102.36500001</v>
      </c>
      <c r="H87" s="202"/>
      <c r="I87" s="189" t="s">
        <v>430</v>
      </c>
      <c r="J87" s="190"/>
      <c r="K87" s="185"/>
      <c r="L87" s="202">
        <f>-'WS B ADIT &amp; ITC'!I28</f>
        <v>-286699514.20354038</v>
      </c>
      <c r="M87" s="167"/>
    </row>
    <row r="88" spans="2:13">
      <c r="B88" s="169">
        <f t="shared" si="1"/>
        <v>40</v>
      </c>
      <c r="C88" s="232"/>
      <c r="D88" s="239" t="s">
        <v>487</v>
      </c>
      <c r="E88" s="185" t="str">
        <f>"(Worksheet B, ln "&amp;'WS B ADIT &amp; ITC'!A33&amp;" &amp; ln "&amp;'WS B ADIT &amp; ITC'!A36&amp;".E)"</f>
        <v>(Worksheet B, ln 12 &amp; ln 15.E)</v>
      </c>
      <c r="F88" s="185"/>
      <c r="G88" s="202">
        <f>-'WS B ADIT &amp; ITC'!I33</f>
        <v>-40288946.314999998</v>
      </c>
      <c r="H88" s="202"/>
      <c r="I88" s="189" t="s">
        <v>430</v>
      </c>
      <c r="J88" s="190"/>
      <c r="K88" s="185"/>
      <c r="L88" s="202">
        <f>-'WS B ADIT &amp; ITC'!I36</f>
        <v>-40288946.314999998</v>
      </c>
      <c r="M88" s="167"/>
    </row>
    <row r="89" spans="2:13">
      <c r="B89" s="169">
        <f t="shared" si="1"/>
        <v>41</v>
      </c>
      <c r="C89" s="232"/>
      <c r="D89" s="239" t="s">
        <v>488</v>
      </c>
      <c r="E89" s="185" t="str">
        <f>"(Worksheet B, ln "&amp;'WS B ADIT &amp; ITC'!A41&amp;" &amp; ln "&amp;'WS B ADIT &amp; ITC'!A44&amp;".E)"</f>
        <v>(Worksheet B, ln 17 &amp; ln 20.E)</v>
      </c>
      <c r="F89" s="185"/>
      <c r="G89" s="202">
        <f>'WS B ADIT &amp; ITC'!I41</f>
        <v>12852812.120000005</v>
      </c>
      <c r="H89" s="202"/>
      <c r="I89" s="189" t="s">
        <v>430</v>
      </c>
      <c r="J89" s="190"/>
      <c r="K89" s="185"/>
      <c r="L89" s="202">
        <f>'WS B ADIT &amp; ITC'!I44</f>
        <v>85019816.614813805</v>
      </c>
      <c r="M89" s="167"/>
    </row>
    <row r="90" spans="2:13" ht="15.75" thickBot="1">
      <c r="B90" s="169">
        <f t="shared" si="1"/>
        <v>42</v>
      </c>
      <c r="C90" s="232"/>
      <c r="D90" s="258" t="s">
        <v>434</v>
      </c>
      <c r="E90" s="185" t="str">
        <f>"(Worksheet B, ln "&amp;'WS B ADIT &amp; ITC'!A51&amp;" &amp; ln "&amp;'WS B ADIT &amp; ITC'!A52&amp;".E)"</f>
        <v>(Worksheet B, ln 24 &amp; ln 25.E)</v>
      </c>
      <c r="F90" s="160"/>
      <c r="G90" s="241">
        <f>-'WS B ADIT &amp; ITC'!I51</f>
        <v>0</v>
      </c>
      <c r="H90" s="202"/>
      <c r="I90" s="189" t="s">
        <v>430</v>
      </c>
      <c r="J90" s="190"/>
      <c r="K90" s="185"/>
      <c r="L90" s="241">
        <f>-'WS B ADIT &amp; ITC'!I52</f>
        <v>0</v>
      </c>
      <c r="M90" s="259"/>
    </row>
    <row r="91" spans="2:13">
      <c r="B91" s="169">
        <f t="shared" si="1"/>
        <v>43</v>
      </c>
      <c r="C91" s="232"/>
      <c r="D91" s="240" t="s">
        <v>393</v>
      </c>
      <c r="E91" s="240" t="str">
        <f>"(sum lns "&amp;B86&amp;" to "&amp;B90&amp;")"</f>
        <v>(sum lns 38 to 42)</v>
      </c>
      <c r="F91" s="185"/>
      <c r="G91" s="202">
        <f>SUM(G86:G90)</f>
        <v>-382364236.56</v>
      </c>
      <c r="H91" s="260"/>
      <c r="I91" s="189"/>
      <c r="J91" s="209"/>
      <c r="K91" s="185"/>
      <c r="L91" s="202">
        <f>SUM(L86:L90)</f>
        <v>-241968643.90372658</v>
      </c>
      <c r="M91" s="167"/>
    </row>
    <row r="92" spans="2:13">
      <c r="B92" s="169"/>
      <c r="C92" s="170"/>
      <c r="D92" s="240"/>
      <c r="E92" s="185"/>
      <c r="F92" s="185"/>
      <c r="G92" s="202"/>
      <c r="H92" s="260"/>
      <c r="I92" s="189"/>
      <c r="J92" s="252"/>
      <c r="K92" s="185"/>
      <c r="L92" s="202"/>
      <c r="M92" s="167"/>
    </row>
    <row r="93" spans="2:13">
      <c r="B93" s="169">
        <f>+B91+1</f>
        <v>44</v>
      </c>
      <c r="C93" s="170"/>
      <c r="D93" s="240" t="s">
        <v>497</v>
      </c>
      <c r="E93" s="185" t="str">
        <f>"(Worksheet A ln "&amp;'WS A - Rate Base Support'!A69&amp;"."&amp;'WS A - Rate Base Support'!F68 &amp;")"&amp;" ln "&amp;'WS A - Rate Base Support'!A71&amp;"."&amp;'WS A - Rate Base Support'!F68 &amp;")"</f>
        <v>(Worksheet A ln 44.(e)) ln 45.(e))</v>
      </c>
      <c r="F93" s="185"/>
      <c r="G93" s="202">
        <f>'WS A - Rate Base Support'!F69</f>
        <v>0</v>
      </c>
      <c r="H93" s="260"/>
      <c r="I93" s="189" t="s">
        <v>430</v>
      </c>
      <c r="J93" s="190"/>
      <c r="K93" s="185"/>
      <c r="L93" s="202">
        <f>'WS A - Rate Base Support'!F71</f>
        <v>0</v>
      </c>
      <c r="M93" s="167"/>
    </row>
    <row r="94" spans="2:13">
      <c r="B94" s="169"/>
      <c r="C94" s="170"/>
      <c r="D94" s="240"/>
      <c r="E94" s="185"/>
      <c r="F94" s="185"/>
      <c r="G94" s="202"/>
      <c r="H94" s="260"/>
      <c r="I94" s="189"/>
      <c r="J94" s="190"/>
      <c r="K94" s="185"/>
      <c r="L94" s="202"/>
      <c r="M94" s="167"/>
    </row>
    <row r="95" spans="2:13">
      <c r="B95" s="169">
        <f>+B93+1</f>
        <v>45</v>
      </c>
      <c r="C95" s="193"/>
      <c r="D95" s="239" t="s">
        <v>132</v>
      </c>
      <c r="E95" s="185" t="str">
        <f>"(Worksheet A ln "&amp;'WS A - Rate Base Support'!A80&amp;"."&amp;'WS A - Rate Base Support'!F68 &amp;")"</f>
        <v>(Worksheet A ln 51.(e))</v>
      </c>
      <c r="F95" s="185"/>
      <c r="G95" s="202">
        <f>'WS A - Rate Base Support'!F80</f>
        <v>0</v>
      </c>
      <c r="H95" s="260"/>
      <c r="I95" s="189" t="s">
        <v>430</v>
      </c>
      <c r="J95" s="185"/>
      <c r="K95" s="185"/>
      <c r="L95" s="202">
        <f>+G95</f>
        <v>0</v>
      </c>
      <c r="M95" s="185"/>
    </row>
    <row r="96" spans="2:13">
      <c r="B96" s="169"/>
      <c r="C96" s="193"/>
      <c r="D96" s="239"/>
      <c r="E96" s="185"/>
      <c r="F96" s="185"/>
      <c r="G96" s="202"/>
      <c r="H96" s="260"/>
      <c r="I96" s="189"/>
      <c r="J96" s="185"/>
      <c r="K96" s="185"/>
      <c r="L96" s="202"/>
      <c r="M96" s="185"/>
    </row>
    <row r="97" spans="2:13">
      <c r="B97" s="192">
        <f>B95+1</f>
        <v>46</v>
      </c>
      <c r="C97" s="249"/>
      <c r="D97" s="315" t="s">
        <v>637</v>
      </c>
      <c r="E97" s="185" t="s">
        <v>638</v>
      </c>
      <c r="F97" s="185"/>
      <c r="G97" s="202">
        <f>'WS A - Rate Base Support'!F87</f>
        <v>0</v>
      </c>
      <c r="H97" s="202"/>
      <c r="I97" s="189" t="s">
        <v>432</v>
      </c>
      <c r="J97" s="190">
        <f>L219</f>
        <v>0.98879321583825608</v>
      </c>
      <c r="K97" s="185"/>
      <c r="L97" s="254">
        <f>+J97*G97</f>
        <v>0</v>
      </c>
      <c r="M97" s="185"/>
    </row>
    <row r="98" spans="2:13">
      <c r="B98" s="169"/>
      <c r="C98" s="170"/>
      <c r="D98" s="240"/>
      <c r="E98" s="185"/>
      <c r="F98" s="185"/>
      <c r="G98" s="202"/>
      <c r="H98" s="260"/>
      <c r="I98" s="189"/>
      <c r="J98" s="185"/>
      <c r="K98" s="185"/>
      <c r="L98" s="202"/>
      <c r="M98" s="167"/>
    </row>
    <row r="99" spans="2:13">
      <c r="B99" s="169">
        <f>+B97+1</f>
        <v>47</v>
      </c>
      <c r="C99" s="170"/>
      <c r="D99" s="240" t="s">
        <v>394</v>
      </c>
      <c r="E99" s="185" t="s">
        <v>296</v>
      </c>
      <c r="F99" s="185"/>
      <c r="G99" s="202"/>
      <c r="H99" s="260"/>
      <c r="I99" s="189"/>
      <c r="J99" s="185"/>
      <c r="K99" s="185"/>
      <c r="L99" s="202"/>
      <c r="M99" s="167"/>
    </row>
    <row r="100" spans="2:13">
      <c r="B100" s="169">
        <f t="shared" ref="B100:B108" si="2">+B99+1</f>
        <v>48</v>
      </c>
      <c r="C100" s="232"/>
      <c r="D100" s="240" t="s">
        <v>496</v>
      </c>
      <c r="E100" s="160" t="str">
        <f>"(1/8 * ln "&amp;B134&amp;")"</f>
        <v>(1/8 * ln 66)</v>
      </c>
      <c r="F100" s="160"/>
      <c r="G100" s="202">
        <f>+G134/8</f>
        <v>3068765.9275000002</v>
      </c>
      <c r="H100" s="185"/>
      <c r="I100" s="189"/>
      <c r="J100" s="252"/>
      <c r="K100" s="185"/>
      <c r="L100" s="202">
        <f>+L134/8</f>
        <v>3034374.930107594</v>
      </c>
      <c r="M100" s="165"/>
    </row>
    <row r="101" spans="2:13">
      <c r="B101" s="169">
        <f t="shared" si="2"/>
        <v>49</v>
      </c>
      <c r="C101" s="249"/>
      <c r="D101" s="240" t="s">
        <v>139</v>
      </c>
      <c r="E101" s="185" t="str">
        <f>"(Worksheet C, ln "&amp;'WS C  - Working Capital'!A17&amp;".(F))"</f>
        <v>(Worksheet C, ln 2.(F))</v>
      </c>
      <c r="F101" s="185"/>
      <c r="G101" s="202">
        <f>'WS C  - Working Capital'!I17</f>
        <v>64</v>
      </c>
      <c r="H101" s="208"/>
      <c r="I101" s="196" t="s">
        <v>422</v>
      </c>
      <c r="J101" s="190">
        <f>J134</f>
        <v>0.98879321583825608</v>
      </c>
      <c r="K101" s="167"/>
      <c r="L101" s="254">
        <f>+J101*G101</f>
        <v>63.282765813648389</v>
      </c>
      <c r="M101" s="185"/>
    </row>
    <row r="102" spans="2:13">
      <c r="B102" s="169">
        <f t="shared" si="2"/>
        <v>50</v>
      </c>
      <c r="C102" s="249"/>
      <c r="D102" s="240" t="s">
        <v>140</v>
      </c>
      <c r="E102" s="185" t="str">
        <f>"(Worksheet C, ln "&amp;'WS C  - Working Capital'!A19&amp;".(F))"</f>
        <v>(Worksheet C, ln 3.(F))</v>
      </c>
      <c r="F102" s="185"/>
      <c r="G102" s="202">
        <f>'WS C  - Working Capital'!I19</f>
        <v>0</v>
      </c>
      <c r="H102" s="208"/>
      <c r="I102" s="196" t="s">
        <v>432</v>
      </c>
      <c r="J102" s="190">
        <f>L219</f>
        <v>0.98879321583825608</v>
      </c>
      <c r="K102" s="167"/>
      <c r="L102" s="254">
        <f>+J102*G102</f>
        <v>0</v>
      </c>
      <c r="M102" s="185"/>
    </row>
    <row r="103" spans="2:13">
      <c r="B103" s="169">
        <f t="shared" si="2"/>
        <v>51</v>
      </c>
      <c r="C103" s="249"/>
      <c r="D103" s="240" t="s">
        <v>328</v>
      </c>
      <c r="E103" s="185" t="str">
        <f>"(Worksheet C, ln "&amp;'WS C  - Working Capital'!A21&amp;".(F))"</f>
        <v>(Worksheet C, ln 4.(F))</v>
      </c>
      <c r="F103" s="185"/>
      <c r="G103" s="202">
        <f>'WS C  - Working Capital'!I21</f>
        <v>0</v>
      </c>
      <c r="H103" s="208"/>
      <c r="I103" s="196" t="s">
        <v>763</v>
      </c>
      <c r="J103" s="190">
        <f>J68</f>
        <v>0.98879321583825608</v>
      </c>
      <c r="K103" s="167"/>
      <c r="L103" s="254">
        <f>+J103*G103</f>
        <v>0</v>
      </c>
      <c r="M103" s="185"/>
    </row>
    <row r="104" spans="2:13">
      <c r="B104" s="169">
        <f t="shared" si="2"/>
        <v>52</v>
      </c>
      <c r="C104" s="249"/>
      <c r="D104" s="239" t="s">
        <v>500</v>
      </c>
      <c r="E104" s="185" t="str">
        <f>"(Worksheet C, ln "&amp;'WS C  - Working Capital'!A31&amp;".(G))"</f>
        <v>(Worksheet C, ln 8.(G))</v>
      </c>
      <c r="F104" s="185"/>
      <c r="G104" s="202">
        <f>'WS C  - Working Capital'!J31</f>
        <v>0</v>
      </c>
      <c r="H104" s="260"/>
      <c r="I104" s="189" t="s">
        <v>432</v>
      </c>
      <c r="J104" s="190">
        <f>L219</f>
        <v>0.98879321583825608</v>
      </c>
      <c r="K104" s="185"/>
      <c r="L104" s="202">
        <f>+J104*G104</f>
        <v>0</v>
      </c>
      <c r="M104" s="185"/>
    </row>
    <row r="105" spans="2:13">
      <c r="B105" s="169">
        <f t="shared" si="2"/>
        <v>53</v>
      </c>
      <c r="C105" s="232"/>
      <c r="D105" s="240" t="s">
        <v>501</v>
      </c>
      <c r="E105" s="185" t="str">
        <f>"(Worksheet C, ln "&amp;'WS C  - Working Capital'!A31&amp;".(F))"</f>
        <v>(Worksheet C, ln 8.(F))</v>
      </c>
      <c r="F105" s="185"/>
      <c r="G105" s="202">
        <f>'WS C  - Working Capital'!I31</f>
        <v>668961</v>
      </c>
      <c r="H105" s="260"/>
      <c r="I105" s="189" t="s">
        <v>763</v>
      </c>
      <c r="J105" s="190">
        <f>J68</f>
        <v>0.98879321583825608</v>
      </c>
      <c r="K105" s="185"/>
      <c r="L105" s="202">
        <f>+G105*J105</f>
        <v>661464.09846037568</v>
      </c>
      <c r="M105" s="185"/>
    </row>
    <row r="106" spans="2:13">
      <c r="B106" s="169">
        <f t="shared" si="2"/>
        <v>54</v>
      </c>
      <c r="C106" s="232"/>
      <c r="D106" s="240" t="s">
        <v>111</v>
      </c>
      <c r="E106" s="185" t="str">
        <f>"(Worksheet C, ln "&amp;'WS C  - Working Capital'!A31&amp;".(E))"</f>
        <v>(Worksheet C, ln 8.(E))</v>
      </c>
      <c r="F106" s="185"/>
      <c r="G106" s="202">
        <f>'WS C  - Working Capital'!G31</f>
        <v>0</v>
      </c>
      <c r="H106" s="260"/>
      <c r="I106" s="189" t="s">
        <v>430</v>
      </c>
      <c r="J106" s="190">
        <v>1</v>
      </c>
      <c r="K106" s="185"/>
      <c r="L106" s="202">
        <f>+G106</f>
        <v>0</v>
      </c>
      <c r="M106" s="185"/>
    </row>
    <row r="107" spans="2:13" ht="15.75" thickBot="1">
      <c r="B107" s="169">
        <f t="shared" si="2"/>
        <v>55</v>
      </c>
      <c r="C107" s="232"/>
      <c r="D107" s="240" t="s">
        <v>406</v>
      </c>
      <c r="E107" s="185" t="str">
        <f>"(Worksheet C, ln "&amp;'WS C  - Working Capital'!A31&amp;".(D))"</f>
        <v>(Worksheet C, ln 8.(D))</v>
      </c>
      <c r="F107" s="185"/>
      <c r="G107" s="241">
        <f>'WS C  - Working Capital'!E31</f>
        <v>0</v>
      </c>
      <c r="H107" s="202"/>
      <c r="I107" s="189" t="s">
        <v>428</v>
      </c>
      <c r="J107" s="190">
        <v>0</v>
      </c>
      <c r="K107" s="185"/>
      <c r="L107" s="241">
        <f>+G107*J107</f>
        <v>0</v>
      </c>
      <c r="M107" s="185"/>
    </row>
    <row r="108" spans="2:13">
      <c r="B108" s="169">
        <f t="shared" si="2"/>
        <v>56</v>
      </c>
      <c r="C108" s="232"/>
      <c r="D108" s="240" t="s">
        <v>378</v>
      </c>
      <c r="E108" s="240" t="str">
        <f>"(sum lns "&amp;B100&amp;" to "&amp;B107&amp;")"</f>
        <v>(sum lns 48 to 55)</v>
      </c>
      <c r="F108" s="180"/>
      <c r="G108" s="202">
        <f>SUM(G100:G107)</f>
        <v>3737790.9275000002</v>
      </c>
      <c r="H108" s="180"/>
      <c r="I108" s="193"/>
      <c r="J108" s="180"/>
      <c r="K108" s="180"/>
      <c r="L108" s="202">
        <f>SUM(L100:L107)</f>
        <v>3695902.3113337834</v>
      </c>
      <c r="M108" s="165"/>
    </row>
    <row r="109" spans="2:13">
      <c r="B109" s="169"/>
      <c r="C109" s="170"/>
      <c r="D109" s="240"/>
      <c r="E109" s="165"/>
      <c r="F109" s="165"/>
      <c r="G109" s="254"/>
      <c r="H109" s="165"/>
      <c r="I109" s="170"/>
      <c r="J109" s="165"/>
      <c r="K109" s="165"/>
      <c r="L109" s="254"/>
      <c r="M109" s="165"/>
    </row>
    <row r="110" spans="2:13">
      <c r="B110" s="169">
        <f>+B108+1</f>
        <v>57</v>
      </c>
      <c r="C110" s="170"/>
      <c r="D110" s="239" t="s">
        <v>366</v>
      </c>
      <c r="E110" s="162" t="str">
        <f>"(Note F) (Worksheet D, ln "&amp;'WS D IPP Credits'!A23&amp;".B)"</f>
        <v>(Note F) (Worksheet D, ln 8.B)</v>
      </c>
      <c r="F110" s="165"/>
      <c r="G110" s="254">
        <f>+'WS D IPP Credits'!C23</f>
        <v>0</v>
      </c>
      <c r="H110" s="165"/>
      <c r="I110" s="261" t="s">
        <v>430</v>
      </c>
      <c r="J110" s="190">
        <v>1</v>
      </c>
      <c r="K110" s="167"/>
      <c r="L110" s="254">
        <f>+J110*G110</f>
        <v>0</v>
      </c>
      <c r="M110" s="165"/>
    </row>
    <row r="111" spans="2:13" ht="15.75" thickBot="1">
      <c r="B111" s="169"/>
      <c r="D111" s="258"/>
      <c r="E111" s="167"/>
      <c r="F111" s="167"/>
      <c r="G111" s="262"/>
      <c r="H111" s="167"/>
      <c r="I111" s="196"/>
      <c r="J111" s="167"/>
      <c r="K111" s="167"/>
      <c r="L111" s="262"/>
      <c r="M111" s="167"/>
    </row>
    <row r="112" spans="2:13" ht="15.75" thickBot="1">
      <c r="B112" s="169">
        <f>+B110+1</f>
        <v>58</v>
      </c>
      <c r="C112" s="170"/>
      <c r="D112" s="162" t="str">
        <f>"RATE BASE  (sum lns "&amp;B82&amp;", "&amp;B91&amp;", "&amp;B93&amp;", "&amp;B95&amp;", "&amp;B97&amp;", "&amp;B108&amp;", "&amp;B110&amp;")"</f>
        <v>RATE BASE  (sum lns 36, 43, 44, 45, 46, 56, 57)</v>
      </c>
      <c r="E112" s="167"/>
      <c r="F112" s="167"/>
      <c r="G112" s="263">
        <f>+G108+G93+G91+G82+G110+G95+G97</f>
        <v>2570098145.6751924</v>
      </c>
      <c r="H112" s="167"/>
      <c r="I112" s="167"/>
      <c r="J112" s="264"/>
      <c r="K112" s="167"/>
      <c r="L112" s="263">
        <f>+L108+L93+L91+L82+L110+L95+L97</f>
        <v>2686230199.1060386</v>
      </c>
      <c r="M112" s="167"/>
    </row>
    <row r="113" spans="2:13" ht="16.5" thickTop="1">
      <c r="B113" s="169"/>
      <c r="C113" s="208"/>
      <c r="D113" s="208"/>
      <c r="E113" s="208"/>
      <c r="F113" s="208"/>
      <c r="G113" s="208"/>
      <c r="H113" s="208"/>
      <c r="I113" s="159"/>
      <c r="J113" s="159"/>
      <c r="K113" s="159"/>
      <c r="L113" s="160"/>
    </row>
    <row r="114" spans="2:13">
      <c r="B114" s="265"/>
      <c r="C114" s="170"/>
      <c r="D114" s="162"/>
      <c r="E114" s="167"/>
      <c r="F114" s="167"/>
      <c r="G114" s="167"/>
      <c r="H114" s="167"/>
      <c r="I114" s="167"/>
      <c r="J114" s="167"/>
      <c r="K114" s="167"/>
      <c r="L114" s="167"/>
      <c r="M114" s="167"/>
    </row>
    <row r="115" spans="2:13">
      <c r="B115" s="265"/>
      <c r="C115" s="170"/>
      <c r="D115" s="162"/>
      <c r="E115" s="167"/>
      <c r="F115" s="196" t="str">
        <f>F51</f>
        <v>AEPTCo subsidiaries in PJM</v>
      </c>
      <c r="G115" s="196"/>
      <c r="H115" s="167"/>
      <c r="I115" s="167"/>
      <c r="J115" s="167"/>
      <c r="K115" s="167"/>
      <c r="L115" s="167"/>
      <c r="M115" s="266"/>
    </row>
    <row r="116" spans="2:13">
      <c r="B116" s="265"/>
      <c r="C116" s="170"/>
      <c r="D116" s="162"/>
      <c r="E116" s="167"/>
      <c r="F116" s="196" t="str">
        <f>F52</f>
        <v>Transmission Cost of Service Formula Rate</v>
      </c>
      <c r="G116" s="196"/>
      <c r="H116" s="167"/>
      <c r="I116" s="167"/>
      <c r="J116" s="167"/>
      <c r="K116" s="167"/>
      <c r="L116" s="167"/>
      <c r="M116" s="266"/>
    </row>
    <row r="117" spans="2:13">
      <c r="B117" s="265"/>
      <c r="C117" s="170"/>
      <c r="E117" s="167"/>
      <c r="F117" s="196" t="str">
        <f>F53</f>
        <v>Utilizing  Actual/Projected FERC Form 1 Data</v>
      </c>
      <c r="G117" s="167"/>
      <c r="H117" s="167"/>
      <c r="I117" s="167"/>
      <c r="J117" s="167"/>
      <c r="K117" s="167"/>
      <c r="L117" s="167"/>
      <c r="M117" s="218"/>
    </row>
    <row r="118" spans="2:13">
      <c r="B118" s="265"/>
      <c r="C118" s="170"/>
      <c r="E118" s="167"/>
      <c r="F118" s="196"/>
      <c r="G118" s="167"/>
      <c r="H118" s="167"/>
      <c r="I118" s="167"/>
      <c r="J118" s="167"/>
      <c r="K118" s="167"/>
      <c r="L118" s="167"/>
      <c r="M118" s="167"/>
    </row>
    <row r="119" spans="2:13">
      <c r="B119" s="265"/>
      <c r="C119" s="170"/>
      <c r="E119" s="267"/>
      <c r="F119" s="196" t="str">
        <f>F55</f>
        <v>AEP Indiana Michigan Transmission Company</v>
      </c>
      <c r="G119" s="267"/>
      <c r="H119" s="268"/>
      <c r="I119" s="267"/>
      <c r="J119" s="267"/>
      <c r="K119" s="267"/>
      <c r="M119" s="167"/>
    </row>
    <row r="120" spans="2:13">
      <c r="B120" s="265"/>
      <c r="C120" s="170"/>
      <c r="E120" s="267"/>
      <c r="F120" s="196"/>
      <c r="G120" s="267"/>
      <c r="H120" s="268"/>
      <c r="I120" s="267"/>
      <c r="J120" s="267"/>
      <c r="K120" s="267"/>
      <c r="M120" s="167"/>
    </row>
    <row r="121" spans="2:13">
      <c r="B121" s="265"/>
      <c r="D121" s="170" t="s">
        <v>423</v>
      </c>
      <c r="E121" s="170" t="s">
        <v>424</v>
      </c>
      <c r="F121" s="170"/>
      <c r="G121" s="170" t="s">
        <v>425</v>
      </c>
      <c r="H121" s="185"/>
      <c r="I121" s="1491" t="s">
        <v>426</v>
      </c>
      <c r="J121" s="1495"/>
      <c r="K121" s="167"/>
      <c r="L121" s="171" t="s">
        <v>427</v>
      </c>
      <c r="M121" s="167"/>
    </row>
    <row r="122" spans="2:13">
      <c r="B122" s="265"/>
      <c r="D122" s="170"/>
      <c r="E122" s="170"/>
      <c r="F122" s="170"/>
      <c r="G122" s="170"/>
      <c r="H122" s="185"/>
      <c r="I122" s="167"/>
      <c r="J122" s="220"/>
      <c r="K122" s="167"/>
      <c r="M122" s="167"/>
    </row>
    <row r="123" spans="2:13" ht="15.75">
      <c r="B123" s="265"/>
      <c r="C123" s="170"/>
      <c r="D123" s="270" t="s">
        <v>402</v>
      </c>
      <c r="E123" s="222" t="str">
        <f>E59</f>
        <v>Data Sources</v>
      </c>
      <c r="F123" s="223"/>
      <c r="G123" s="167"/>
      <c r="H123" s="185"/>
      <c r="I123" s="167"/>
      <c r="J123" s="170"/>
      <c r="K123" s="167"/>
      <c r="L123" s="222" t="str">
        <f>L59</f>
        <v>Total</v>
      </c>
    </row>
    <row r="124" spans="2:13" ht="15.75">
      <c r="B124" s="265"/>
      <c r="C124" s="177"/>
      <c r="D124" s="225" t="s">
        <v>403</v>
      </c>
      <c r="E124" s="271" t="str">
        <f>E60</f>
        <v>(See "General Notes")</v>
      </c>
      <c r="F124" s="167"/>
      <c r="G124" s="271" t="str">
        <f>G60</f>
        <v>TO Total</v>
      </c>
      <c r="H124" s="272"/>
      <c r="I124" s="1493" t="str">
        <f>I60</f>
        <v>Allocator</v>
      </c>
      <c r="J124" s="1494"/>
      <c r="K124" s="227"/>
      <c r="L124" s="271" t="str">
        <f>L60</f>
        <v>Transmission</v>
      </c>
      <c r="M124" s="167"/>
    </row>
    <row r="125" spans="2:13" ht="15.75">
      <c r="B125" s="169" t="str">
        <f>B61</f>
        <v>Line</v>
      </c>
      <c r="D125" s="162"/>
      <c r="E125" s="167"/>
      <c r="F125" s="167"/>
      <c r="G125" s="225"/>
      <c r="H125" s="273"/>
      <c r="I125" s="270"/>
      <c r="K125" s="274"/>
      <c r="L125" s="225"/>
      <c r="M125" s="167"/>
    </row>
    <row r="126" spans="2:13">
      <c r="B126" s="169" t="str">
        <f>B62</f>
        <v>No.</v>
      </c>
      <c r="C126" s="170"/>
      <c r="D126" s="162" t="s">
        <v>404</v>
      </c>
      <c r="E126" s="167"/>
      <c r="F126" s="167"/>
      <c r="G126" s="167"/>
      <c r="H126" s="185"/>
      <c r="I126" s="196"/>
      <c r="J126" s="167"/>
      <c r="K126" s="167"/>
      <c r="L126" s="167"/>
      <c r="M126" s="167"/>
    </row>
    <row r="127" spans="2:13">
      <c r="B127" s="169">
        <f>+B112+1</f>
        <v>59</v>
      </c>
      <c r="C127" s="170"/>
      <c r="D127" s="204" t="s">
        <v>34</v>
      </c>
      <c r="E127" s="167" t="s">
        <v>494</v>
      </c>
      <c r="F127" s="185"/>
      <c r="G127" s="143">
        <v>0</v>
      </c>
      <c r="H127" s="185"/>
      <c r="I127" s="189"/>
      <c r="J127" s="190"/>
      <c r="K127" s="185"/>
      <c r="L127" s="202"/>
      <c r="M127" s="167"/>
    </row>
    <row r="128" spans="2:13">
      <c r="B128" s="169">
        <f t="shared" ref="B128:B134" si="3">+B127+1</f>
        <v>60</v>
      </c>
      <c r="C128" s="170"/>
      <c r="D128" s="204" t="s">
        <v>47</v>
      </c>
      <c r="E128" s="167" t="s">
        <v>208</v>
      </c>
      <c r="F128" s="185"/>
      <c r="G128" s="143">
        <v>0</v>
      </c>
      <c r="H128" s="185"/>
      <c r="I128" s="189"/>
      <c r="J128" s="190"/>
      <c r="K128" s="185"/>
      <c r="L128" s="202"/>
      <c r="M128" s="167"/>
    </row>
    <row r="129" spans="2:13" ht="15.75" thickBot="1">
      <c r="B129" s="169">
        <f t="shared" si="3"/>
        <v>61</v>
      </c>
      <c r="C129" s="170"/>
      <c r="D129" s="204" t="s">
        <v>435</v>
      </c>
      <c r="E129" s="167" t="s">
        <v>207</v>
      </c>
      <c r="F129" s="185"/>
      <c r="G129" s="141">
        <v>25292839</v>
      </c>
      <c r="H129" s="275"/>
      <c r="I129" s="208"/>
      <c r="J129" s="208"/>
      <c r="K129" s="172"/>
      <c r="L129" s="172"/>
      <c r="M129" s="165"/>
    </row>
    <row r="130" spans="2:13">
      <c r="B130" s="169">
        <f t="shared" si="3"/>
        <v>62</v>
      </c>
      <c r="C130" s="170"/>
      <c r="D130" s="204" t="s">
        <v>48</v>
      </c>
      <c r="E130" s="185" t="str">
        <f>"(sum lns "&amp;B127&amp;"  to "&amp;B129&amp;")"</f>
        <v>(sum lns 59  to 61)</v>
      </c>
      <c r="F130" s="185"/>
      <c r="G130" s="202">
        <f>SUM(G127:G129)</f>
        <v>25292839</v>
      </c>
      <c r="H130" s="202"/>
      <c r="I130" s="208"/>
      <c r="J130" s="208"/>
      <c r="K130" s="172"/>
      <c r="L130" s="172"/>
      <c r="M130" s="165"/>
    </row>
    <row r="131" spans="2:13">
      <c r="B131" s="169">
        <f t="shared" si="3"/>
        <v>63</v>
      </c>
      <c r="C131" s="170"/>
      <c r="D131" s="204" t="s">
        <v>133</v>
      </c>
      <c r="E131" s="185" t="str">
        <f>"(Note G) (Worksheet F, ln "&amp;'WS F Misc Exp'!A33&amp;".C)"</f>
        <v>(Note G) (Worksheet F, ln 14.C)</v>
      </c>
      <c r="F131" s="185"/>
      <c r="G131" s="202">
        <f>+'WS F Misc Exp'!D33</f>
        <v>742711.58000000007</v>
      </c>
      <c r="H131" s="202"/>
      <c r="I131" s="208"/>
      <c r="J131" s="208"/>
      <c r="K131" s="172"/>
      <c r="L131" s="172"/>
      <c r="M131" s="165"/>
    </row>
    <row r="132" spans="2:13">
      <c r="B132" s="169">
        <f t="shared" si="3"/>
        <v>64</v>
      </c>
      <c r="C132" s="170"/>
      <c r="D132" s="204" t="s">
        <v>362</v>
      </c>
      <c r="E132" s="185" t="s">
        <v>401</v>
      </c>
      <c r="F132" s="185"/>
      <c r="G132" s="145"/>
      <c r="H132" s="202"/>
      <c r="I132" s="208"/>
      <c r="J132" s="208"/>
      <c r="K132" s="172"/>
      <c r="L132" s="172"/>
      <c r="M132" s="165"/>
    </row>
    <row r="133" spans="2:13" ht="15.75" thickBot="1">
      <c r="B133" s="169">
        <f t="shared" si="3"/>
        <v>65</v>
      </c>
      <c r="C133" s="193"/>
      <c r="D133" s="204" t="s">
        <v>137</v>
      </c>
      <c r="E133" s="185" t="str">
        <f>"(Note I) (Worksheet F, ln "&amp;'WS F Misc Exp'!A21&amp;".C)"</f>
        <v>(Note I) (Worksheet F, ln 4.C)</v>
      </c>
      <c r="F133" s="185"/>
      <c r="G133" s="241">
        <f>+'WS F Misc Exp'!D21</f>
        <v>0</v>
      </c>
      <c r="H133" s="202"/>
      <c r="I133" s="260"/>
      <c r="J133" s="260"/>
      <c r="K133" s="172"/>
      <c r="L133" s="172"/>
      <c r="M133" s="165"/>
    </row>
    <row r="134" spans="2:13">
      <c r="B134" s="169">
        <f t="shared" si="3"/>
        <v>66</v>
      </c>
      <c r="C134" s="170"/>
      <c r="D134" s="204" t="s">
        <v>204</v>
      </c>
      <c r="E134" s="167" t="str">
        <f>"(lns "&amp;B129&amp;" - "&amp;B131&amp;" - "&amp;B132&amp;" - "&amp;B133&amp;")"</f>
        <v>(lns 61 - 63 - 64 - 65)</v>
      </c>
      <c r="F134" s="204"/>
      <c r="G134" s="202">
        <f>G129-G131-G132-G133</f>
        <v>24550127.420000002</v>
      </c>
      <c r="H134" s="185"/>
      <c r="I134" s="196" t="s">
        <v>422</v>
      </c>
      <c r="J134" s="190">
        <f>L209</f>
        <v>0.98879321583825608</v>
      </c>
      <c r="K134" s="185"/>
      <c r="L134" s="202">
        <f>+J134*G134</f>
        <v>24274999.440860752</v>
      </c>
      <c r="M134" s="180"/>
    </row>
    <row r="135" spans="2:13">
      <c r="B135" s="169"/>
      <c r="C135" s="170"/>
      <c r="D135" s="204"/>
      <c r="E135" s="185"/>
      <c r="F135" s="185"/>
      <c r="G135" s="276"/>
      <c r="H135" s="202"/>
      <c r="I135" s="208"/>
      <c r="J135" s="208"/>
      <c r="K135" s="172"/>
      <c r="L135" s="172"/>
      <c r="M135" s="165"/>
    </row>
    <row r="136" spans="2:13">
      <c r="B136" s="169">
        <f>+B134+1</f>
        <v>67</v>
      </c>
      <c r="C136" s="170"/>
      <c r="D136" s="162" t="s">
        <v>405</v>
      </c>
      <c r="E136" s="185" t="s">
        <v>760</v>
      </c>
      <c r="F136" s="167"/>
      <c r="G136" s="145">
        <v>10920526</v>
      </c>
      <c r="H136" s="275" t="s">
        <v>416</v>
      </c>
      <c r="I136" s="255"/>
      <c r="J136" s="255"/>
      <c r="K136" s="167"/>
      <c r="L136" s="254"/>
      <c r="M136" s="167"/>
    </row>
    <row r="137" spans="2:13">
      <c r="B137" s="169">
        <f t="shared" ref="B137:B143" si="4">+B136+1</f>
        <v>68</v>
      </c>
      <c r="C137" s="170"/>
      <c r="D137" s="204" t="s">
        <v>135</v>
      </c>
      <c r="E137" s="167" t="s">
        <v>209</v>
      </c>
      <c r="F137" s="167"/>
      <c r="G137" s="145">
        <v>873625</v>
      </c>
      <c r="H137" s="202"/>
      <c r="I137" s="255"/>
      <c r="J137" s="162"/>
      <c r="K137" s="167"/>
      <c r="L137" s="254"/>
      <c r="M137" s="172"/>
    </row>
    <row r="138" spans="2:13">
      <c r="B138" s="169">
        <f t="shared" si="4"/>
        <v>69</v>
      </c>
      <c r="C138" s="170"/>
      <c r="D138" s="162" t="s">
        <v>134</v>
      </c>
      <c r="E138" s="167" t="s">
        <v>397</v>
      </c>
      <c r="F138" s="185"/>
      <c r="G138" s="145">
        <v>49962</v>
      </c>
      <c r="H138" s="202"/>
      <c r="I138" s="255"/>
      <c r="J138" s="277"/>
      <c r="K138" s="167"/>
      <c r="L138" s="254"/>
      <c r="M138" s="167"/>
    </row>
    <row r="139" spans="2:13">
      <c r="B139" s="169">
        <f t="shared" si="4"/>
        <v>70</v>
      </c>
      <c r="C139" s="170"/>
      <c r="D139" s="204" t="s">
        <v>409</v>
      </c>
      <c r="E139" s="167" t="s">
        <v>398</v>
      </c>
      <c r="F139" s="185"/>
      <c r="G139" s="145">
        <v>1193</v>
      </c>
      <c r="H139" s="202"/>
      <c r="I139" s="255"/>
      <c r="J139" s="255"/>
      <c r="K139" s="167"/>
      <c r="L139" s="254"/>
      <c r="M139" s="167"/>
    </row>
    <row r="140" spans="2:13" ht="15.75" thickBot="1">
      <c r="B140" s="169">
        <f t="shared" si="4"/>
        <v>71</v>
      </c>
      <c r="C140" s="170"/>
      <c r="D140" s="204" t="s">
        <v>136</v>
      </c>
      <c r="E140" s="167" t="s">
        <v>399</v>
      </c>
      <c r="F140" s="185"/>
      <c r="G140" s="141">
        <v>202929</v>
      </c>
      <c r="H140" s="202"/>
      <c r="I140" s="255"/>
      <c r="J140" s="255"/>
      <c r="K140" s="167"/>
      <c r="L140" s="254"/>
      <c r="M140" s="167"/>
    </row>
    <row r="141" spans="2:13">
      <c r="B141" s="169">
        <f>+B140+1</f>
        <v>72</v>
      </c>
      <c r="C141" s="170"/>
      <c r="D141" s="162" t="s">
        <v>410</v>
      </c>
      <c r="E141" s="185" t="str">
        <f>"(ln "&amp;B136&amp;" - sum ln "&amp;B137&amp;"  to ln "&amp;B140&amp;")"</f>
        <v>(ln 67 - sum ln 68  to ln 71)</v>
      </c>
      <c r="F141" s="185"/>
      <c r="G141" s="202">
        <f>G136-SUM(G137:G140)</f>
        <v>9792817</v>
      </c>
      <c r="H141" s="202"/>
      <c r="I141" s="196" t="s">
        <v>432</v>
      </c>
      <c r="J141" s="190">
        <f>L219</f>
        <v>0.98879321583825608</v>
      </c>
      <c r="K141" s="167"/>
      <c r="L141" s="254">
        <f>+J141*G141</f>
        <v>9683071.013545543</v>
      </c>
      <c r="M141" s="167"/>
    </row>
    <row r="142" spans="2:13">
      <c r="B142" s="169">
        <f t="shared" si="4"/>
        <v>73</v>
      </c>
      <c r="C142" s="193"/>
      <c r="D142" s="204" t="s">
        <v>489</v>
      </c>
      <c r="E142" s="185" t="str">
        <f>"(ln "&amp;B137&amp;")"</f>
        <v>(ln 68)</v>
      </c>
      <c r="F142" s="185"/>
      <c r="G142" s="202">
        <f>+G137</f>
        <v>873625</v>
      </c>
      <c r="H142" s="202"/>
      <c r="I142" s="278" t="s">
        <v>636</v>
      </c>
      <c r="J142" s="190">
        <f>J68</f>
        <v>0.98879321583825608</v>
      </c>
      <c r="K142" s="185"/>
      <c r="L142" s="202">
        <f>+J142*G142</f>
        <v>863834.47318669641</v>
      </c>
      <c r="M142" s="167"/>
    </row>
    <row r="143" spans="2:13">
      <c r="B143" s="169">
        <f t="shared" si="4"/>
        <v>74</v>
      </c>
      <c r="C143" s="170"/>
      <c r="D143" s="204" t="s">
        <v>1</v>
      </c>
      <c r="E143" s="185" t="str">
        <f>"Worksheet F ln "&amp;'WS F Misc Exp'!A44&amp;".(E) (Note L)"</f>
        <v>Worksheet F ln 21.(E) (Note L)</v>
      </c>
      <c r="F143" s="185"/>
      <c r="G143" s="202">
        <f>+'WS F Misc Exp'!F44</f>
        <v>48397.450000000004</v>
      </c>
      <c r="H143" s="202"/>
      <c r="I143" s="196" t="s">
        <v>422</v>
      </c>
      <c r="J143" s="190">
        <f>L209</f>
        <v>0.98879321583825608</v>
      </c>
      <c r="K143" s="167"/>
      <c r="L143" s="254">
        <f>J143*G143</f>
        <v>47855.070223871211</v>
      </c>
      <c r="M143" s="167"/>
    </row>
    <row r="144" spans="2:13">
      <c r="B144" s="169">
        <f>B143+1</f>
        <v>75</v>
      </c>
      <c r="C144" s="170"/>
      <c r="D144" s="204" t="s">
        <v>27</v>
      </c>
      <c r="E144" s="185" t="str">
        <f>"Worksheet F ln "&amp;'WS F Misc Exp'!A64&amp;".(E) (Note L)"</f>
        <v>Worksheet F ln 38.(E) (Note L)</v>
      </c>
      <c r="F144" s="185"/>
      <c r="G144" s="188">
        <f>+'WS F Misc Exp'!F64</f>
        <v>0</v>
      </c>
      <c r="H144" s="185"/>
      <c r="I144" s="189" t="s">
        <v>422</v>
      </c>
      <c r="J144" s="190">
        <f>L209</f>
        <v>0.98879321583825608</v>
      </c>
      <c r="K144" s="167"/>
      <c r="L144" s="254">
        <f>+J144*G144</f>
        <v>0</v>
      </c>
      <c r="M144" s="167"/>
    </row>
    <row r="145" spans="2:13">
      <c r="B145" s="169">
        <f>+B144+1</f>
        <v>76</v>
      </c>
      <c r="C145" s="170"/>
      <c r="D145" s="204" t="s">
        <v>28</v>
      </c>
      <c r="E145" s="185" t="str">
        <f>"Worksheet F ln "&amp;'WS F Misc Exp'!A73&amp;".(E) (Note L)"</f>
        <v>Worksheet F ln 44.(E) (Note L)</v>
      </c>
      <c r="F145" s="185"/>
      <c r="G145" s="188">
        <f>+'WS F Misc Exp'!F73</f>
        <v>1351.19</v>
      </c>
      <c r="H145" s="279"/>
      <c r="I145" s="189" t="s">
        <v>430</v>
      </c>
      <c r="J145" s="190">
        <v>1</v>
      </c>
      <c r="K145" s="167"/>
      <c r="L145" s="280">
        <f>+J145*G145</f>
        <v>1351.19</v>
      </c>
      <c r="M145" s="167"/>
    </row>
    <row r="146" spans="2:13">
      <c r="B146" s="169">
        <f>+B145+1</f>
        <v>77</v>
      </c>
      <c r="C146" s="170"/>
      <c r="D146" s="1293" t="s">
        <v>797</v>
      </c>
      <c r="E146" s="185" t="str">
        <f>"Worksheet O Ln "&amp;'Worksheet O'!A33&amp;"."&amp;'Worksheet O'!D11&amp;", (Note K &amp; M)"</f>
        <v>Worksheet O Ln 16.(B), (Note K &amp; M)</v>
      </c>
      <c r="F146" s="185"/>
      <c r="G146" s="1225">
        <f>'Worksheet O'!D33</f>
        <v>936622.0719235111</v>
      </c>
      <c r="H146" s="279"/>
      <c r="I146" s="196" t="s">
        <v>432</v>
      </c>
      <c r="J146" s="190">
        <f>L219</f>
        <v>0.98879321583825608</v>
      </c>
      <c r="K146" s="167"/>
      <c r="L146" s="1309">
        <f>+J146*G146</f>
        <v>926125.55052233895</v>
      </c>
      <c r="M146" s="167"/>
    </row>
    <row r="147" spans="2:13">
      <c r="B147" s="169">
        <f>+B146+1</f>
        <v>78</v>
      </c>
      <c r="C147" s="170"/>
      <c r="D147" s="162" t="s">
        <v>411</v>
      </c>
      <c r="E147" s="185" t="str">
        <f>"(sum lns "&amp;B141&amp;"  to "&amp;B146&amp;")"</f>
        <v>(sum lns 72  to 77)</v>
      </c>
      <c r="F147" s="185"/>
      <c r="G147" s="254">
        <f>SUM(G141:G146)</f>
        <v>11652812.71192351</v>
      </c>
      <c r="H147" s="202"/>
      <c r="I147" s="196"/>
      <c r="J147" s="255"/>
      <c r="K147" s="167"/>
      <c r="L147" s="254">
        <f>SUM(L141:L146)</f>
        <v>11522237.297478449</v>
      </c>
      <c r="M147" s="167"/>
    </row>
    <row r="148" spans="2:13" ht="15.75" thickBot="1">
      <c r="B148" s="169"/>
      <c r="C148" s="170"/>
      <c r="D148" s="204"/>
      <c r="E148" s="185"/>
      <c r="F148" s="185"/>
      <c r="G148" s="241"/>
      <c r="H148" s="185"/>
      <c r="I148" s="196"/>
      <c r="J148" s="255"/>
      <c r="K148" s="167"/>
      <c r="L148" s="262"/>
      <c r="M148" s="167"/>
    </row>
    <row r="149" spans="2:13">
      <c r="B149" s="169">
        <f>+B147+1</f>
        <v>79</v>
      </c>
      <c r="C149" s="193"/>
      <c r="D149" s="204" t="s">
        <v>206</v>
      </c>
      <c r="E149" s="185" t="str">
        <f>"(ln "&amp;B134&amp;" + ln "&amp;B147&amp;")"</f>
        <v>(ln 66 + ln 78)</v>
      </c>
      <c r="F149" s="185"/>
      <c r="G149" s="202">
        <f>+G134+G147</f>
        <v>36202940.131923512</v>
      </c>
      <c r="H149" s="202"/>
      <c r="I149" s="189"/>
      <c r="J149" s="185"/>
      <c r="K149" s="185"/>
      <c r="L149" s="202">
        <f>L134+L147</f>
        <v>35797236.738339201</v>
      </c>
      <c r="M149" s="167"/>
    </row>
    <row r="150" spans="2:13" ht="15.75" thickBot="1">
      <c r="B150" s="253">
        <f>+B149+1</f>
        <v>80</v>
      </c>
      <c r="C150" s="193"/>
      <c r="D150" s="204" t="s">
        <v>282</v>
      </c>
      <c r="E150" s="204"/>
      <c r="F150" s="185"/>
      <c r="G150" s="141">
        <v>0</v>
      </c>
      <c r="H150" s="202"/>
      <c r="I150" s="196" t="s">
        <v>430</v>
      </c>
      <c r="J150" s="190">
        <f>J63</f>
        <v>1</v>
      </c>
      <c r="K150" s="185"/>
      <c r="L150" s="262">
        <f>J150*G150</f>
        <v>0</v>
      </c>
      <c r="M150" s="167"/>
    </row>
    <row r="151" spans="2:13">
      <c r="B151" s="169">
        <f>+B150+1</f>
        <v>81</v>
      </c>
      <c r="C151" s="170"/>
      <c r="D151" s="204" t="s">
        <v>412</v>
      </c>
      <c r="E151" s="185" t="str">
        <f>"(ln "&amp;B149&amp;" + ln "&amp;B150&amp;")"</f>
        <v>(ln 79 + ln 80)</v>
      </c>
      <c r="F151" s="185"/>
      <c r="G151" s="202">
        <f>+G149+G150</f>
        <v>36202940.131923512</v>
      </c>
      <c r="H151" s="202"/>
      <c r="I151" s="189"/>
      <c r="J151" s="185"/>
      <c r="K151" s="185"/>
      <c r="L151" s="202">
        <f>+L149+L150</f>
        <v>35797236.738339201</v>
      </c>
      <c r="M151" s="167"/>
    </row>
    <row r="152" spans="2:13">
      <c r="B152" s="169"/>
      <c r="C152" s="170"/>
      <c r="D152" s="204"/>
      <c r="E152" s="167"/>
      <c r="F152" s="167"/>
      <c r="G152" s="254"/>
      <c r="H152" s="185"/>
      <c r="I152" s="167"/>
      <c r="J152" s="167"/>
      <c r="K152" s="167"/>
      <c r="L152" s="254"/>
      <c r="M152" s="167"/>
    </row>
    <row r="153" spans="2:13">
      <c r="B153" s="169">
        <f>+B151+1</f>
        <v>82</v>
      </c>
      <c r="C153" s="170"/>
      <c r="D153" s="240" t="s">
        <v>415</v>
      </c>
      <c r="E153" s="189"/>
      <c r="F153" s="189"/>
      <c r="G153" s="254"/>
      <c r="H153" s="185"/>
      <c r="I153" s="196"/>
      <c r="J153" s="167"/>
      <c r="K153" s="167"/>
      <c r="L153" s="254"/>
      <c r="M153" s="167"/>
    </row>
    <row r="154" spans="2:13">
      <c r="B154" s="253">
        <f>+B153+1</f>
        <v>83</v>
      </c>
      <c r="C154" s="170"/>
      <c r="D154" s="233" t="str">
        <f>+D129</f>
        <v xml:space="preserve">  Transmission </v>
      </c>
      <c r="E154" s="184" t="s">
        <v>210</v>
      </c>
      <c r="F154" s="281"/>
      <c r="G154" s="149">
        <v>86502398</v>
      </c>
      <c r="H154" s="282"/>
      <c r="I154" s="283" t="s">
        <v>422</v>
      </c>
      <c r="J154" s="1464">
        <f>L209</f>
        <v>0.98879321583825608</v>
      </c>
      <c r="K154" s="238"/>
      <c r="L154" s="284">
        <f>J154*G154</f>
        <v>85532984.29614073</v>
      </c>
      <c r="M154" s="238"/>
    </row>
    <row r="155" spans="2:13">
      <c r="B155" s="169">
        <f>+B154+1</f>
        <v>84</v>
      </c>
      <c r="C155" s="170"/>
      <c r="D155" s="240" t="s">
        <v>436</v>
      </c>
      <c r="E155" s="281" t="s">
        <v>211</v>
      </c>
      <c r="F155" s="167"/>
      <c r="G155" s="149">
        <v>1501889</v>
      </c>
      <c r="H155" s="202"/>
      <c r="I155" s="196" t="s">
        <v>432</v>
      </c>
      <c r="J155" s="190">
        <f>L219</f>
        <v>0.98879321583825608</v>
      </c>
      <c r="K155" s="167"/>
      <c r="L155" s="254">
        <f>+J155*G155</f>
        <v>1485057.6541421027</v>
      </c>
      <c r="M155" s="167"/>
    </row>
    <row r="156" spans="2:13" ht="15.75" thickBot="1">
      <c r="B156" s="169">
        <f>+B155+1</f>
        <v>85</v>
      </c>
      <c r="C156" s="170"/>
      <c r="D156" s="240" t="s">
        <v>437</v>
      </c>
      <c r="E156" s="234" t="s">
        <v>212</v>
      </c>
      <c r="F156" s="185"/>
      <c r="G156" s="141">
        <v>5869632</v>
      </c>
      <c r="H156" s="202"/>
      <c r="I156" s="196" t="s">
        <v>432</v>
      </c>
      <c r="J156" s="190">
        <f>L219</f>
        <v>0.98879321583825608</v>
      </c>
      <c r="K156" s="167"/>
      <c r="L156" s="262">
        <f>+J156*G156</f>
        <v>5803852.3010671344</v>
      </c>
      <c r="M156" s="167"/>
    </row>
    <row r="157" spans="2:13" ht="15" customHeight="1">
      <c r="B157" s="169">
        <f>+B156+1</f>
        <v>86</v>
      </c>
      <c r="C157" s="170"/>
      <c r="D157" s="240" t="s">
        <v>106</v>
      </c>
      <c r="E157" s="285" t="str">
        <f>"(Ln "&amp;B154&amp;"+"&amp;B155&amp;"+"&amp;B156&amp;")"</f>
        <v>(Ln 83+84+85)</v>
      </c>
      <c r="F157" s="167"/>
      <c r="G157" s="202">
        <f>+G154+G155+G156</f>
        <v>93873919</v>
      </c>
      <c r="H157" s="185"/>
      <c r="I157" s="196"/>
      <c r="J157" s="167"/>
      <c r="K157" s="167"/>
      <c r="L157" s="202">
        <f>+L154+L155+L156</f>
        <v>92821894.251349956</v>
      </c>
      <c r="M157" s="167"/>
    </row>
    <row r="158" spans="2:13">
      <c r="B158" s="169"/>
      <c r="C158" s="170"/>
      <c r="D158" s="240"/>
      <c r="E158" s="286"/>
      <c r="F158" s="167"/>
      <c r="G158" s="254"/>
      <c r="H158" s="185"/>
      <c r="I158" s="196"/>
      <c r="J158" s="167"/>
      <c r="K158" s="167"/>
      <c r="L158" s="254"/>
      <c r="M158" s="167"/>
    </row>
    <row r="159" spans="2:13">
      <c r="B159" s="169">
        <f>+B157+1</f>
        <v>87</v>
      </c>
      <c r="C159" s="170"/>
      <c r="D159" s="240" t="s">
        <v>367</v>
      </c>
      <c r="E159" s="160" t="s">
        <v>213</v>
      </c>
      <c r="G159" s="254"/>
      <c r="H159" s="185"/>
      <c r="I159" s="196"/>
      <c r="J159" s="167"/>
      <c r="K159" s="167"/>
      <c r="L159" s="254"/>
      <c r="M159" s="167"/>
    </row>
    <row r="160" spans="2:13">
      <c r="B160" s="169">
        <f t="shared" ref="B160:B165" si="5">+B159+1</f>
        <v>88</v>
      </c>
      <c r="C160" s="170"/>
      <c r="D160" s="240" t="s">
        <v>438</v>
      </c>
      <c r="G160" s="254"/>
      <c r="H160" s="185"/>
      <c r="I160" s="196"/>
      <c r="K160" s="167"/>
      <c r="L160" s="254"/>
      <c r="M160" s="167"/>
    </row>
    <row r="161" spans="2:13">
      <c r="B161" s="169">
        <f t="shared" si="5"/>
        <v>89</v>
      </c>
      <c r="C161" s="170"/>
      <c r="D161" s="240" t="s">
        <v>439</v>
      </c>
      <c r="E161" s="185" t="str">
        <f>"Worksheet H ln "&amp;'WS H-p1 Other Taxes'!A43&amp;"."&amp;'WS H-p1 Other Taxes'!I10&amp;""</f>
        <v>Worksheet H ln 23.(D)</v>
      </c>
      <c r="F161" s="167"/>
      <c r="G161" s="202">
        <f>+'WS H-p1 Other Taxes'!I43</f>
        <v>0</v>
      </c>
      <c r="H161" s="202"/>
      <c r="I161" s="196" t="s">
        <v>432</v>
      </c>
      <c r="J161" s="190">
        <f>L219</f>
        <v>0.98879321583825608</v>
      </c>
      <c r="K161" s="167"/>
      <c r="L161" s="254">
        <f>+J161*G161</f>
        <v>0</v>
      </c>
      <c r="M161" s="259"/>
    </row>
    <row r="162" spans="2:13">
      <c r="B162" s="169">
        <f t="shared" si="5"/>
        <v>90</v>
      </c>
      <c r="C162" s="170"/>
      <c r="D162" s="240" t="s">
        <v>440</v>
      </c>
      <c r="E162" s="185" t="s">
        <v>416</v>
      </c>
      <c r="F162" s="167"/>
      <c r="G162" s="202"/>
      <c r="H162" s="202"/>
      <c r="I162" s="196"/>
      <c r="K162" s="167"/>
      <c r="L162" s="254"/>
      <c r="M162" s="185"/>
    </row>
    <row r="163" spans="2:13">
      <c r="B163" s="192">
        <f t="shared" si="5"/>
        <v>91</v>
      </c>
      <c r="C163" s="193"/>
      <c r="D163" s="239" t="s">
        <v>441</v>
      </c>
      <c r="E163" s="185" t="str">
        <f>"Worksheet H-p2 ln "&amp;'WS H-p2 Detail of Tax Amts'!A22&amp;"."&amp;'WS H-p2 Detail of Tax Amts'!E19&amp; " &amp; ln "&amp;'WS H-p2 Detail of Tax Amts'!A22&amp;"."&amp;'WS H-p2 Detail of Tax Amts'!I19&amp;""</f>
        <v>Worksheet H-p2 ln 3.(C) &amp; ln 3.(G)</v>
      </c>
      <c r="F163" s="185"/>
      <c r="G163" s="202">
        <f>'WS H-p2 Detail of Tax Amts'!E22</f>
        <v>32427453</v>
      </c>
      <c r="H163" s="202"/>
      <c r="I163" s="189" t="s">
        <v>430</v>
      </c>
      <c r="J163" s="190">
        <v>1</v>
      </c>
      <c r="K163" s="185"/>
      <c r="L163" s="254">
        <f>+J163*G163</f>
        <v>32427453</v>
      </c>
      <c r="M163" s="287"/>
    </row>
    <row r="164" spans="2:13">
      <c r="B164" s="169">
        <f t="shared" si="5"/>
        <v>92</v>
      </c>
      <c r="C164" s="170"/>
      <c r="D164" s="240" t="s">
        <v>492</v>
      </c>
      <c r="E164" s="185" t="str">
        <f>"Worksheet H ln "&amp;'WS H-p1 Other Taxes'!A43&amp;"."&amp;'WS H-p1 Other Taxes'!M10&amp;""</f>
        <v>Worksheet H ln 23.(F)</v>
      </c>
      <c r="F164" s="167"/>
      <c r="G164" s="202">
        <f>+'WS H-p1 Other Taxes'!M43</f>
        <v>13</v>
      </c>
      <c r="H164" s="260"/>
      <c r="I164" s="196" t="s">
        <v>428</v>
      </c>
      <c r="J164" s="190">
        <v>0</v>
      </c>
      <c r="K164" s="167"/>
      <c r="L164" s="254">
        <f>+J164*G164</f>
        <v>0</v>
      </c>
      <c r="M164" s="185"/>
    </row>
    <row r="165" spans="2:13" ht="15.75" thickBot="1">
      <c r="B165" s="169">
        <f t="shared" si="5"/>
        <v>93</v>
      </c>
      <c r="C165" s="170"/>
      <c r="D165" s="240" t="s">
        <v>442</v>
      </c>
      <c r="E165" s="185" t="str">
        <f>"Worksheet H ln "&amp;'WS H-p1 Other Taxes'!A43&amp;"."&amp;'WS H-p1 Other Taxes'!K10&amp;""</f>
        <v>Worksheet H ln 23.(E)</v>
      </c>
      <c r="F165" s="167"/>
      <c r="G165" s="241">
        <f>+'WS H-p1 Other Taxes'!K43</f>
        <v>0</v>
      </c>
      <c r="H165" s="260"/>
      <c r="I165" s="196" t="s">
        <v>763</v>
      </c>
      <c r="J165" s="190">
        <f>J68</f>
        <v>0.98879321583825608</v>
      </c>
      <c r="K165" s="167"/>
      <c r="L165" s="262">
        <f>+J165*G165</f>
        <v>0</v>
      </c>
      <c r="M165" s="185"/>
    </row>
    <row r="166" spans="2:13">
      <c r="B166" s="169">
        <f>+B165+1</f>
        <v>94</v>
      </c>
      <c r="C166" s="170"/>
      <c r="D166" s="240" t="s">
        <v>368</v>
      </c>
      <c r="E166" s="195" t="str">
        <f>"(sum lns "&amp;B161&amp;" to "&amp;B165&amp;")"</f>
        <v>(sum lns 89 to 93)</v>
      </c>
      <c r="F166" s="167"/>
      <c r="G166" s="202">
        <f>SUM(G161:G165)</f>
        <v>32427466</v>
      </c>
      <c r="H166" s="185"/>
      <c r="I166" s="196"/>
      <c r="J166" s="288"/>
      <c r="K166" s="167"/>
      <c r="L166" s="254">
        <f>SUM(L161:L165)</f>
        <v>32427453</v>
      </c>
      <c r="M166" s="167"/>
    </row>
    <row r="167" spans="2:13">
      <c r="B167" s="169"/>
      <c r="C167" s="170"/>
      <c r="D167" s="240"/>
      <c r="E167" s="167"/>
      <c r="F167" s="167"/>
      <c r="G167" s="167"/>
      <c r="H167" s="185"/>
      <c r="I167" s="196"/>
      <c r="J167" s="288"/>
      <c r="K167" s="167"/>
      <c r="L167" s="167"/>
      <c r="M167" s="289"/>
    </row>
    <row r="168" spans="2:13">
      <c r="B168" s="169">
        <f>+B166+1</f>
        <v>95</v>
      </c>
      <c r="C168" s="170"/>
      <c r="D168" s="240" t="s">
        <v>141</v>
      </c>
      <c r="E168" s="185" t="s">
        <v>214</v>
      </c>
      <c r="F168" s="290"/>
      <c r="G168" s="167"/>
      <c r="H168" s="208"/>
      <c r="I168" s="267"/>
      <c r="K168" s="167"/>
      <c r="L168" s="291"/>
      <c r="M168" s="167"/>
    </row>
    <row r="169" spans="2:13">
      <c r="B169" s="169">
        <f t="shared" ref="B169:B174" si="6">+B168+1</f>
        <v>96</v>
      </c>
      <c r="C169" s="170"/>
      <c r="D169" s="292" t="s">
        <v>142</v>
      </c>
      <c r="E169" s="167"/>
      <c r="F169" s="293"/>
      <c r="G169" s="294">
        <f>IF(F340&gt;0,1-(((1-F341)*(1-F340))/(1-F341*F340*F342)),0)</f>
        <v>0.249579</v>
      </c>
      <c r="H169" s="295"/>
      <c r="I169" s="295"/>
      <c r="K169" s="296"/>
      <c r="L169" s="291"/>
      <c r="M169" s="167"/>
    </row>
    <row r="170" spans="2:13">
      <c r="B170" s="169">
        <f t="shared" si="6"/>
        <v>97</v>
      </c>
      <c r="C170" s="170"/>
      <c r="D170" s="258" t="s">
        <v>143</v>
      </c>
      <c r="E170" s="167"/>
      <c r="F170" s="293"/>
      <c r="G170" s="294">
        <f>IF(L233&gt;0,($G169/(1-$G169))*(1-$L233/$L236),0)</f>
        <v>0.25536717382130197</v>
      </c>
      <c r="H170" s="295"/>
      <c r="I170" s="295"/>
      <c r="K170" s="296"/>
      <c r="L170" s="291"/>
      <c r="M170" s="167"/>
    </row>
    <row r="171" spans="2:13">
      <c r="B171" s="169">
        <f t="shared" si="6"/>
        <v>98</v>
      </c>
      <c r="C171" s="170"/>
      <c r="D171" s="239" t="str">
        <f>"       where WCLTD=(ln "&amp;B233&amp;") and WACC = (ln "&amp;B236&amp;")"</f>
        <v xml:space="preserve">       where WCLTD=(ln 136) and WACC = (ln 139)</v>
      </c>
      <c r="E171" s="185"/>
      <c r="F171" s="297"/>
      <c r="G171" s="167"/>
      <c r="H171" s="295"/>
      <c r="I171" s="295"/>
      <c r="J171" s="298"/>
      <c r="K171" s="296"/>
      <c r="L171" s="299"/>
      <c r="M171" s="167"/>
    </row>
    <row r="172" spans="2:13">
      <c r="B172" s="169">
        <f t="shared" si="6"/>
        <v>99</v>
      </c>
      <c r="C172" s="170"/>
      <c r="D172" s="240" t="s">
        <v>215</v>
      </c>
      <c r="E172" s="300"/>
      <c r="F172" s="293"/>
      <c r="G172" s="167"/>
      <c r="H172" s="208"/>
      <c r="I172" s="267"/>
      <c r="J172" s="298"/>
      <c r="K172" s="296"/>
      <c r="L172" s="291"/>
      <c r="M172" s="167"/>
    </row>
    <row r="173" spans="2:13">
      <c r="B173" s="169">
        <f t="shared" si="6"/>
        <v>100</v>
      </c>
      <c r="C173" s="170"/>
      <c r="D173" s="301" t="str">
        <f>"      GRCF=1 / (1 - T)  = (from ln "&amp;B169&amp;")"</f>
        <v xml:space="preserve">      GRCF=1 / (1 - T)  = (from ln 96)</v>
      </c>
      <c r="E173" s="290"/>
      <c r="F173" s="290"/>
      <c r="G173" s="302">
        <f>IF(G169&gt;0,1/(1-G169),0)</f>
        <v>1.3325853087800048</v>
      </c>
      <c r="H173" s="208"/>
      <c r="I173" s="212"/>
      <c r="J173" s="303"/>
      <c r="K173" s="304"/>
      <c r="L173" s="305"/>
      <c r="M173" s="167"/>
    </row>
    <row r="174" spans="2:13">
      <c r="B174" s="169">
        <f t="shared" si="6"/>
        <v>101</v>
      </c>
      <c r="C174" s="170"/>
      <c r="D174" s="239" t="s">
        <v>144</v>
      </c>
      <c r="E174" s="248" t="s">
        <v>302</v>
      </c>
      <c r="F174" s="297"/>
      <c r="G174" s="143">
        <v>0</v>
      </c>
      <c r="H174" s="341"/>
      <c r="I174" s="278"/>
      <c r="J174" s="1231"/>
      <c r="K174" s="202"/>
      <c r="L174" s="160"/>
      <c r="M174" s="196"/>
    </row>
    <row r="175" spans="2:13">
      <c r="B175" s="169">
        <f t="shared" ref="B175:B181" si="7">+B174+1</f>
        <v>102</v>
      </c>
      <c r="C175" s="170"/>
      <c r="D175" s="239" t="s">
        <v>560</v>
      </c>
      <c r="E175" s="185" t="s">
        <v>764</v>
      </c>
      <c r="F175" s="1223"/>
      <c r="G175" s="143">
        <v>1179878.6126403827</v>
      </c>
      <c r="H175" s="341"/>
      <c r="I175" s="309" t="s">
        <v>640</v>
      </c>
      <c r="J175" s="190">
        <f>NP_h</f>
        <v>0.99178571960207407</v>
      </c>
      <c r="K175" s="202"/>
      <c r="L175" s="188">
        <f>+G175*J175</f>
        <v>1170186.7588806388</v>
      </c>
      <c r="M175" s="167"/>
    </row>
    <row r="176" spans="2:13">
      <c r="B176" s="169">
        <f t="shared" si="7"/>
        <v>103</v>
      </c>
      <c r="C176" s="170"/>
      <c r="D176" s="239" t="s">
        <v>639</v>
      </c>
      <c r="E176" s="185" t="s">
        <v>764</v>
      </c>
      <c r="F176" s="1223"/>
      <c r="G176" s="143">
        <v>334101.78999999998</v>
      </c>
      <c r="H176" s="341"/>
      <c r="I176" s="309" t="s">
        <v>640</v>
      </c>
      <c r="J176" s="190">
        <f>NP_h</f>
        <v>0.99178571960207407</v>
      </c>
      <c r="K176" s="202"/>
      <c r="L176" s="188">
        <f>+G176*J176</f>
        <v>331357.38421549101</v>
      </c>
      <c r="M176" s="167"/>
    </row>
    <row r="177" spans="2:13">
      <c r="B177" s="169">
        <f t="shared" si="7"/>
        <v>104</v>
      </c>
      <c r="C177" s="170"/>
      <c r="D177" s="301" t="s">
        <v>145</v>
      </c>
      <c r="E177" s="306" t="str">
        <f>"(ln "&amp;B170&amp;" * ln "&amp;B183&amp;")"</f>
        <v>(ln 97 * ln 109)</v>
      </c>
      <c r="F177" s="307"/>
      <c r="G177" s="202">
        <f>+G170*G183</f>
        <v>48658174.199932121</v>
      </c>
      <c r="H177" s="341"/>
      <c r="I177" s="278"/>
      <c r="J177" s="1224"/>
      <c r="K177" s="202"/>
      <c r="L177" s="202">
        <f>+L183*G170</f>
        <v>50856834.86024297</v>
      </c>
      <c r="M177" s="167"/>
    </row>
    <row r="178" spans="2:13">
      <c r="B178" s="169">
        <f t="shared" si="7"/>
        <v>105</v>
      </c>
      <c r="C178" s="170"/>
      <c r="D178" s="320" t="s">
        <v>146</v>
      </c>
      <c r="E178" s="306" t="str">
        <f>"(ln "&amp;B173&amp;" * ln "&amp;B174&amp;")"</f>
        <v>(ln 100 * ln 101)</v>
      </c>
      <c r="F178" s="306"/>
      <c r="G178" s="188">
        <f>G173*G174</f>
        <v>0</v>
      </c>
      <c r="H178" s="341"/>
      <c r="I178" s="309" t="s">
        <v>640</v>
      </c>
      <c r="J178" s="190">
        <f>NP_h</f>
        <v>0.99178571960207407</v>
      </c>
      <c r="K178" s="202"/>
      <c r="L178" s="188">
        <f>+G178*J178</f>
        <v>0</v>
      </c>
      <c r="M178" s="167"/>
    </row>
    <row r="179" spans="2:13">
      <c r="B179" s="169">
        <f t="shared" si="7"/>
        <v>106</v>
      </c>
      <c r="C179" s="170"/>
      <c r="D179" s="320" t="s">
        <v>560</v>
      </c>
      <c r="E179" s="306" t="str">
        <f>"(ln "&amp;B173&amp;" * ln "&amp;B175&amp;")"</f>
        <v>(ln 100 * ln 102)</v>
      </c>
      <c r="F179" s="306"/>
      <c r="G179" s="188">
        <f>G173*G175</f>
        <v>1572288.9053483082</v>
      </c>
      <c r="H179" s="341"/>
      <c r="I179" s="309"/>
      <c r="J179" s="190"/>
      <c r="K179" s="202"/>
      <c r="L179" s="188">
        <f>G173*L175</f>
        <v>1559373.683413229</v>
      </c>
      <c r="M179" s="167"/>
    </row>
    <row r="180" spans="2:13">
      <c r="B180" s="169">
        <f t="shared" si="7"/>
        <v>107</v>
      </c>
      <c r="C180" s="170"/>
      <c r="D180" s="239" t="s">
        <v>639</v>
      </c>
      <c r="E180" s="306" t="str">
        <f>"(ln "&amp;B173&amp;" * ln "&amp;B176&amp;")"</f>
        <v>(ln 100 * ln 103)</v>
      </c>
      <c r="F180" s="306"/>
      <c r="G180" s="1225">
        <f>G173*G176</f>
        <v>445219.13699110231</v>
      </c>
      <c r="H180" s="341"/>
      <c r="I180" s="309"/>
      <c r="J180" s="190"/>
      <c r="K180" s="202"/>
      <c r="L180" s="1225">
        <f>G173*L176</f>
        <v>441561.98216133477</v>
      </c>
      <c r="M180" s="167"/>
    </row>
    <row r="181" spans="2:13">
      <c r="B181" s="253">
        <f t="shared" si="7"/>
        <v>108</v>
      </c>
      <c r="C181" s="170"/>
      <c r="D181" s="292" t="s">
        <v>369</v>
      </c>
      <c r="E181" s="167" t="str">
        <f>"(sum lns "&amp;B177&amp;" to "&amp;B180&amp;")"</f>
        <v>(sum lns 104 to 107)</v>
      </c>
      <c r="F181" s="306"/>
      <c r="G181" s="309">
        <f>SUM(G177:G180)</f>
        <v>50675682.242271535</v>
      </c>
      <c r="H181" s="208"/>
      <c r="I181" s="212" t="s">
        <v>416</v>
      </c>
      <c r="J181" s="310"/>
      <c r="K181" s="254"/>
      <c r="L181" s="309">
        <f>SUM(L177:L180)</f>
        <v>52857770.525817536</v>
      </c>
      <c r="M181" s="167"/>
    </row>
    <row r="182" spans="2:13">
      <c r="B182" s="253"/>
      <c r="C182" s="170"/>
      <c r="D182" s="292"/>
      <c r="E182" s="167"/>
      <c r="F182" s="306"/>
      <c r="G182" s="309"/>
      <c r="H182" s="208"/>
      <c r="I182" s="212"/>
      <c r="J182" s="310"/>
      <c r="K182" s="254"/>
      <c r="L182" s="309"/>
      <c r="M182" s="167"/>
    </row>
    <row r="183" spans="2:13">
      <c r="B183" s="253">
        <f>+B181+1</f>
        <v>109</v>
      </c>
      <c r="C183" s="170"/>
      <c r="D183" s="301" t="s">
        <v>491</v>
      </c>
      <c r="E183" s="301" t="str">
        <f>"(ln "&amp;B112&amp;" * ln "&amp;B236&amp;")"</f>
        <v>(ln 58 * ln 139)</v>
      </c>
      <c r="F183" s="264"/>
      <c r="G183" s="1396">
        <f>+$L236*G112</f>
        <v>190542008.4806264</v>
      </c>
      <c r="H183" s="185"/>
      <c r="I183" s="212"/>
      <c r="J183" s="254"/>
      <c r="K183" s="254"/>
      <c r="L183" s="1396">
        <f>+L236*L112</f>
        <v>199151809.91833746</v>
      </c>
      <c r="M183" s="167"/>
    </row>
    <row r="184" spans="2:13">
      <c r="B184" s="169"/>
      <c r="C184" s="170"/>
      <c r="D184" s="292"/>
      <c r="G184" s="254"/>
      <c r="H184" s="254"/>
      <c r="I184" s="212"/>
      <c r="J184" s="212"/>
      <c r="K184" s="254"/>
      <c r="L184" s="254"/>
      <c r="M184" s="167"/>
    </row>
    <row r="185" spans="2:13">
      <c r="B185" s="169">
        <f>+B183+1</f>
        <v>110</v>
      </c>
      <c r="C185" s="170"/>
      <c r="D185" s="311" t="s">
        <v>400</v>
      </c>
      <c r="F185" s="281"/>
      <c r="G185" s="202">
        <f>-'WS D IPP Credits'!C13</f>
        <v>0</v>
      </c>
      <c r="H185" s="202"/>
      <c r="I185" s="261" t="s">
        <v>430</v>
      </c>
      <c r="J185" s="190">
        <v>1</v>
      </c>
      <c r="K185" s="284"/>
      <c r="L185" s="254">
        <f>+J185*G185</f>
        <v>0</v>
      </c>
      <c r="M185" s="238"/>
    </row>
    <row r="186" spans="2:13">
      <c r="B186" s="169"/>
      <c r="C186" s="170"/>
      <c r="D186" s="311"/>
      <c r="F186" s="281"/>
      <c r="G186" s="202"/>
      <c r="H186" s="202"/>
      <c r="I186" s="261"/>
      <c r="J186" s="190"/>
      <c r="K186" s="284"/>
      <c r="L186" s="254"/>
      <c r="M186" s="238"/>
    </row>
    <row r="187" spans="2:13">
      <c r="B187" s="169">
        <f>+B185+1</f>
        <v>111</v>
      </c>
      <c r="C187" s="170"/>
      <c r="D187" s="311"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4"/>
      <c r="G187" s="202">
        <f>+'WS N - Sale of Plant Held'!O33</f>
        <v>0</v>
      </c>
      <c r="H187" s="202"/>
      <c r="I187" s="312"/>
      <c r="J187" s="190"/>
      <c r="K187" s="237"/>
      <c r="L187" s="202">
        <f>'WS N - Sale of Plant Held'!S33</f>
        <v>0</v>
      </c>
      <c r="M187" s="236"/>
    </row>
    <row r="188" spans="2:13">
      <c r="B188" s="169"/>
      <c r="C188" s="170"/>
      <c r="D188" s="311"/>
      <c r="E188" s="160"/>
      <c r="F188" s="234"/>
      <c r="G188" s="202"/>
      <c r="H188" s="202"/>
      <c r="I188" s="312"/>
      <c r="J188" s="190"/>
      <c r="K188" s="237"/>
      <c r="L188" s="202"/>
      <c r="M188" s="236"/>
    </row>
    <row r="189" spans="2:13">
      <c r="B189" s="169">
        <f>+B187+1</f>
        <v>112</v>
      </c>
      <c r="C189" s="170"/>
      <c r="D189" s="311" t="str">
        <f>" Tax Impact on Net Loss / (Gain) on Sales of Plant Held for Future Use (ln "&amp;B187&amp;" * ln"&amp;B170&amp;")"</f>
        <v xml:space="preserve"> Tax Impact on Net Loss / (Gain) on Sales of Plant Held for Future Use (ln 111 * ln97)</v>
      </c>
      <c r="E189" s="160"/>
      <c r="F189" s="234"/>
      <c r="G189" s="202">
        <f>-+G170*G187</f>
        <v>0</v>
      </c>
      <c r="H189" s="202"/>
      <c r="I189" s="312"/>
      <c r="J189" s="190"/>
      <c r="K189" s="237"/>
      <c r="L189" s="202">
        <f>L187*-G170</f>
        <v>0</v>
      </c>
      <c r="M189" s="236"/>
    </row>
    <row r="190" spans="2:13" ht="15.75" thickBot="1">
      <c r="B190" s="169"/>
      <c r="C190" s="170"/>
      <c r="D190" s="240"/>
      <c r="G190" s="262"/>
      <c r="H190" s="313"/>
      <c r="I190" s="212"/>
      <c r="J190" s="212"/>
      <c r="K190" s="254"/>
      <c r="L190" s="262"/>
      <c r="M190" s="167"/>
    </row>
    <row r="191" spans="2:13" ht="15.75" thickBot="1">
      <c r="B191" s="169">
        <f>+B189+1</f>
        <v>113</v>
      </c>
      <c r="C191" s="170"/>
      <c r="D191" s="155" t="s">
        <v>49</v>
      </c>
      <c r="G191" s="314">
        <f>+G185+G183+G181+G166+G157+G151+G187+G189</f>
        <v>403722015.85482144</v>
      </c>
      <c r="L191" s="314">
        <f>+L185+L183+L181+L166+L157+L151+L187+L189</f>
        <v>413056164.43384409</v>
      </c>
      <c r="M191" s="167"/>
    </row>
    <row r="192" spans="2:13" ht="15.75" thickTop="1">
      <c r="B192" s="169"/>
      <c r="C192" s="170"/>
      <c r="D192" s="162" t="str">
        <f>"    (sum lns "&amp;B151&amp;", "&amp;B157&amp;", "&amp;B166&amp;", "&amp;B181&amp;", "&amp;B183&amp;", "&amp;B185&amp;", "&amp;B187&amp;", "&amp;B189&amp;")"</f>
        <v xml:space="preserve">    (sum lns 81, 86, 94, 108, 109, 110, 111, 112)</v>
      </c>
      <c r="F192" s="315"/>
      <c r="M192" s="167"/>
    </row>
    <row r="193" spans="2:14">
      <c r="B193" s="169"/>
      <c r="C193" s="170"/>
      <c r="F193" s="315"/>
      <c r="M193" s="167"/>
    </row>
    <row r="194" spans="2:14">
      <c r="B194" s="169"/>
      <c r="C194" s="170"/>
      <c r="D194" s="162"/>
      <c r="F194" s="267" t="str">
        <f>F115</f>
        <v>AEPTCo subsidiaries in PJM</v>
      </c>
      <c r="M194" s="266"/>
    </row>
    <row r="195" spans="2:14">
      <c r="B195" s="169"/>
      <c r="C195" s="170"/>
      <c r="D195" s="162"/>
      <c r="F195" s="267" t="str">
        <f>F116</f>
        <v>Transmission Cost of Service Formula Rate</v>
      </c>
      <c r="M195" s="266"/>
    </row>
    <row r="196" spans="2:14">
      <c r="B196" s="155"/>
      <c r="C196" s="170"/>
      <c r="F196" s="267" t="str">
        <f>F117</f>
        <v>Utilizing  Actual/Projected FERC Form 1 Data</v>
      </c>
      <c r="M196" s="218"/>
    </row>
    <row r="197" spans="2:14">
      <c r="B197" s="169"/>
      <c r="C197" s="170"/>
      <c r="E197" s="267"/>
      <c r="F197" s="267"/>
      <c r="G197" s="267"/>
      <c r="H197" s="267"/>
      <c r="I197" s="267"/>
      <c r="J197" s="267"/>
      <c r="K197" s="267"/>
      <c r="M197" s="167"/>
    </row>
    <row r="198" spans="2:14">
      <c r="B198" s="169"/>
      <c r="C198" s="170"/>
      <c r="E198" s="162"/>
      <c r="F198" s="267" t="str">
        <f>F119</f>
        <v>AEP Indiana Michigan Transmission Company</v>
      </c>
      <c r="G198" s="162"/>
      <c r="H198" s="162"/>
      <c r="I198" s="162"/>
      <c r="J198" s="162"/>
      <c r="K198" s="162"/>
      <c r="L198" s="162"/>
      <c r="M198" s="162"/>
    </row>
    <row r="199" spans="2:14">
      <c r="B199" s="169"/>
      <c r="C199" s="170"/>
      <c r="E199" s="162"/>
      <c r="F199" s="267"/>
      <c r="G199" s="162"/>
      <c r="H199" s="162"/>
      <c r="I199" s="162"/>
      <c r="J199" s="162"/>
      <c r="K199" s="162"/>
      <c r="L199" s="162"/>
      <c r="M199" s="162"/>
    </row>
    <row r="200" spans="2:14" ht="15.75">
      <c r="B200" s="169"/>
      <c r="C200" s="170"/>
      <c r="F200" s="270" t="s">
        <v>374</v>
      </c>
      <c r="H200" s="165"/>
      <c r="I200" s="165"/>
      <c r="J200" s="165"/>
      <c r="K200" s="165"/>
      <c r="L200" s="165"/>
      <c r="M200" s="167"/>
    </row>
    <row r="201" spans="2:14" ht="15.75">
      <c r="B201" s="169"/>
      <c r="C201" s="170"/>
      <c r="D201" s="316"/>
      <c r="E201" s="165"/>
      <c r="F201" s="165"/>
      <c r="G201" s="165"/>
      <c r="H201" s="165"/>
      <c r="I201" s="165"/>
      <c r="J201" s="165"/>
      <c r="K201" s="165"/>
      <c r="L201" s="165"/>
      <c r="M201" s="167"/>
    </row>
    <row r="202" spans="2:14" ht="15.75">
      <c r="B202" s="169" t="s">
        <v>418</v>
      </c>
      <c r="C202" s="170"/>
      <c r="D202" s="316"/>
      <c r="E202" s="165"/>
      <c r="F202" s="165"/>
      <c r="G202" s="165"/>
      <c r="H202" s="165"/>
      <c r="I202" s="165"/>
      <c r="J202" s="165"/>
      <c r="K202" s="165"/>
      <c r="L202" s="165"/>
      <c r="M202" s="167"/>
    </row>
    <row r="203" spans="2:14" ht="15.75" thickBot="1">
      <c r="B203" s="176" t="s">
        <v>419</v>
      </c>
      <c r="C203" s="177"/>
      <c r="D203" s="204" t="s">
        <v>512</v>
      </c>
      <c r="E203" s="180"/>
      <c r="F203" s="180"/>
      <c r="G203" s="180"/>
      <c r="H203" s="180"/>
      <c r="I203" s="180"/>
      <c r="J203" s="180"/>
      <c r="K203" s="160"/>
      <c r="M203" s="167"/>
      <c r="N203" s="172"/>
    </row>
    <row r="204" spans="2:14">
      <c r="B204" s="169">
        <f>+B191+1</f>
        <v>114</v>
      </c>
      <c r="C204" s="170"/>
      <c r="D204" s="180" t="s">
        <v>466</v>
      </c>
      <c r="E204" s="317" t="str">
        <f>"(ln "&amp;B63&amp;")"</f>
        <v>(ln 19)</v>
      </c>
      <c r="F204" s="318"/>
      <c r="H204" s="319"/>
      <c r="I204" s="319"/>
      <c r="J204" s="319"/>
      <c r="K204" s="319"/>
      <c r="L204" s="188">
        <f>+G63</f>
        <v>3149500207.5915384</v>
      </c>
      <c r="M204" s="167"/>
      <c r="N204" s="172"/>
    </row>
    <row r="205" spans="2:14">
      <c r="B205" s="169">
        <f>+B204+1</f>
        <v>115</v>
      </c>
      <c r="C205" s="170"/>
      <c r="D205" s="180" t="str">
        <f>"  Less transmission plant excluded from PJM Tariff  (Worksheet A, ln "&amp;'WS A - Rate Base Support'!A62&amp;"."&amp;'WS A - Rate Base Support'!E47&amp;") (Note P)"</f>
        <v xml:space="preserve">  Less transmission plant excluded from PJM Tariff  (Worksheet A, ln 42.(d)) (Note P)</v>
      </c>
      <c r="E205" s="320"/>
      <c r="F205" s="320"/>
      <c r="G205" s="321"/>
      <c r="H205" s="320"/>
      <c r="I205" s="320"/>
      <c r="J205" s="320"/>
      <c r="K205" s="320"/>
      <c r="L205" s="143">
        <f>'WS A - Rate Base Support'!E62</f>
        <v>35295769.043846145</v>
      </c>
      <c r="M205" s="167"/>
      <c r="N205" s="172"/>
    </row>
    <row r="206" spans="2:14" ht="36" customHeight="1" thickBot="1">
      <c r="B206" s="169">
        <f>+B205+1</f>
        <v>116</v>
      </c>
      <c r="C206" s="170"/>
      <c r="D206" s="318"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18"/>
      <c r="F206" s="318"/>
      <c r="G206" s="230"/>
      <c r="H206" s="319"/>
      <c r="I206" s="319"/>
      <c r="J206" s="230"/>
      <c r="K206" s="319"/>
      <c r="L206" s="262">
        <f>'WS A - Rate Base Support'!C62</f>
        <v>0</v>
      </c>
      <c r="M206" s="167"/>
      <c r="N206" s="172"/>
    </row>
    <row r="207" spans="2:14">
      <c r="B207" s="169">
        <f>+B206+1</f>
        <v>117</v>
      </c>
      <c r="C207" s="170"/>
      <c r="D207" s="180" t="s">
        <v>513</v>
      </c>
      <c r="E207" s="322" t="str">
        <f>"(ln "&amp;B204&amp;" - ln "&amp;B205&amp;" - ln "&amp;B206&amp;")"</f>
        <v>(ln 114 - ln 115 - ln 116)</v>
      </c>
      <c r="F207" s="318"/>
      <c r="H207" s="319"/>
      <c r="I207" s="319"/>
      <c r="J207" s="230"/>
      <c r="K207" s="319"/>
      <c r="L207" s="188">
        <f>L204-L205-L206</f>
        <v>3114204438.5476923</v>
      </c>
      <c r="M207" s="167"/>
      <c r="N207" s="172"/>
    </row>
    <row r="208" spans="2:14" ht="9" customHeight="1">
      <c r="B208" s="169"/>
      <c r="C208" s="170"/>
      <c r="D208" s="160"/>
      <c r="E208" s="318"/>
      <c r="F208" s="318"/>
      <c r="G208" s="230"/>
      <c r="H208" s="319"/>
      <c r="I208" s="319"/>
      <c r="J208" s="230"/>
      <c r="K208" s="319"/>
      <c r="L208" s="320"/>
      <c r="M208" s="167"/>
      <c r="N208" s="172"/>
    </row>
    <row r="209" spans="2:22" ht="15.75" customHeight="1">
      <c r="B209" s="169">
        <f>+B207+1</f>
        <v>118</v>
      </c>
      <c r="C209" s="170"/>
      <c r="D209" s="180" t="s">
        <v>514</v>
      </c>
      <c r="E209" s="323" t="str">
        <f>"(ln "&amp;B207&amp;" / ln "&amp;B204&amp;")"</f>
        <v>(ln 117 / ln 114)</v>
      </c>
      <c r="F209" s="324"/>
      <c r="H209" s="325"/>
      <c r="I209" s="326"/>
      <c r="J209" s="326"/>
      <c r="K209" s="327" t="s">
        <v>443</v>
      </c>
      <c r="L209" s="328">
        <f>IF(L204=0,1,L207/L204)</f>
        <v>0.98879321583825608</v>
      </c>
      <c r="M209" s="167"/>
      <c r="N209" s="172"/>
    </row>
    <row r="210" spans="2:22" ht="15.75">
      <c r="B210" s="169"/>
      <c r="C210" s="170"/>
      <c r="D210" s="329"/>
      <c r="E210" s="180"/>
      <c r="F210" s="180"/>
      <c r="G210" s="330"/>
      <c r="H210" s="180"/>
      <c r="I210" s="193"/>
      <c r="J210" s="180"/>
      <c r="K210" s="180"/>
      <c r="L210" s="165"/>
      <c r="M210" s="167"/>
    </row>
    <row r="211" spans="2:22" ht="30">
      <c r="B211" s="169">
        <f>B209+1</f>
        <v>119</v>
      </c>
      <c r="C211" s="193"/>
      <c r="D211" s="204" t="s">
        <v>375</v>
      </c>
      <c r="E211" s="189" t="s">
        <v>147</v>
      </c>
      <c r="F211" s="189" t="s">
        <v>484</v>
      </c>
      <c r="G211" s="331" t="s">
        <v>506</v>
      </c>
      <c r="H211" s="268" t="s">
        <v>420</v>
      </c>
      <c r="I211" s="196"/>
      <c r="J211" s="167"/>
      <c r="K211" s="167"/>
      <c r="L211" s="167"/>
      <c r="M211" s="167"/>
    </row>
    <row r="212" spans="2:22">
      <c r="B212" s="169">
        <f t="shared" ref="B212:B217" si="8">+B211+1</f>
        <v>120</v>
      </c>
      <c r="C212" s="193"/>
      <c r="D212" s="231" t="s">
        <v>322</v>
      </c>
      <c r="E212" s="185"/>
      <c r="F212" s="185"/>
      <c r="G212" s="202"/>
      <c r="H212" s="202"/>
      <c r="I212" s="189"/>
      <c r="J212" s="190"/>
      <c r="K212" s="185"/>
      <c r="L212" s="202"/>
      <c r="M212" s="167"/>
    </row>
    <row r="213" spans="2:22">
      <c r="B213" s="169">
        <f t="shared" si="8"/>
        <v>121</v>
      </c>
      <c r="C213" s="193"/>
      <c r="D213" s="239" t="s">
        <v>429</v>
      </c>
      <c r="E213" s="185" t="s">
        <v>351</v>
      </c>
      <c r="F213" s="143">
        <v>0</v>
      </c>
      <c r="G213" s="142">
        <v>7344121.7915037954</v>
      </c>
      <c r="H213" s="332">
        <f>+F213+G213</f>
        <v>7344121.7915037954</v>
      </c>
      <c r="I213" s="193" t="s">
        <v>422</v>
      </c>
      <c r="J213" s="190">
        <f>L209</f>
        <v>0.98879321583825608</v>
      </c>
      <c r="K213" s="333"/>
      <c r="L213" s="254">
        <f>(F213+G213)*J213</f>
        <v>7261817.8037288524</v>
      </c>
      <c r="M213" s="167"/>
    </row>
    <row r="214" spans="2:22">
      <c r="B214" s="169">
        <f t="shared" si="8"/>
        <v>122</v>
      </c>
      <c r="C214" s="193"/>
      <c r="D214" s="239" t="s">
        <v>552</v>
      </c>
      <c r="E214" s="167" t="s">
        <v>264</v>
      </c>
      <c r="F214" s="143">
        <v>0</v>
      </c>
      <c r="G214" s="143">
        <v>0</v>
      </c>
      <c r="H214" s="254">
        <f>+F214+G214</f>
        <v>0</v>
      </c>
      <c r="I214" s="196" t="s">
        <v>428</v>
      </c>
      <c r="J214" s="190">
        <v>0</v>
      </c>
      <c r="K214" s="333"/>
      <c r="L214" s="254">
        <f>(F214+G214)*J214</f>
        <v>0</v>
      </c>
      <c r="M214" s="167"/>
    </row>
    <row r="215" spans="2:22">
      <c r="B215" s="169">
        <f t="shared" si="8"/>
        <v>123</v>
      </c>
      <c r="C215" s="193"/>
      <c r="D215" s="231" t="s">
        <v>322</v>
      </c>
      <c r="E215" s="185"/>
      <c r="F215" s="185"/>
      <c r="G215" s="202"/>
      <c r="H215" s="202"/>
      <c r="I215" s="189"/>
      <c r="J215" s="190"/>
      <c r="K215" s="185"/>
      <c r="L215" s="202"/>
      <c r="M215" s="167"/>
    </row>
    <row r="216" spans="2:22" ht="15.75" thickBot="1">
      <c r="B216" s="169">
        <f t="shared" si="8"/>
        <v>124</v>
      </c>
      <c r="C216" s="193"/>
      <c r="D216" s="239" t="s">
        <v>493</v>
      </c>
      <c r="E216" s="167" t="s">
        <v>216</v>
      </c>
      <c r="F216" s="141">
        <v>0</v>
      </c>
      <c r="G216" s="141">
        <v>0</v>
      </c>
      <c r="H216" s="262">
        <f>+F216+G216</f>
        <v>0</v>
      </c>
      <c r="I216" s="196" t="s">
        <v>428</v>
      </c>
      <c r="J216" s="190">
        <v>0</v>
      </c>
      <c r="K216" s="333"/>
      <c r="L216" s="262">
        <f>(F216+G216)*J216</f>
        <v>0</v>
      </c>
      <c r="M216" s="167"/>
    </row>
    <row r="217" spans="2:22" ht="15.75">
      <c r="B217" s="169">
        <f t="shared" si="8"/>
        <v>125</v>
      </c>
      <c r="C217" s="193"/>
      <c r="D217" s="239" t="s">
        <v>420</v>
      </c>
      <c r="E217" s="185" t="str">
        <f>"(sum lns "&amp;B213&amp;", "&amp;B214&amp;", &amp; "&amp;B216&amp;")"</f>
        <v>(sum lns 121, 122, &amp; 124)</v>
      </c>
      <c r="F217" s="254">
        <f>SUM(F212:F216)</f>
        <v>0</v>
      </c>
      <c r="G217" s="185">
        <f>SUM(G212:G216)</f>
        <v>7344121.7915037954</v>
      </c>
      <c r="H217" s="185">
        <f>SUM(H212:H216)</f>
        <v>7344121.7915037954</v>
      </c>
      <c r="I217" s="196"/>
      <c r="J217" s="167"/>
      <c r="K217" s="167"/>
      <c r="L217" s="254">
        <f>SUM(L212:L216)</f>
        <v>7261817.8037288524</v>
      </c>
      <c r="M217" s="222"/>
    </row>
    <row r="218" spans="2:22">
      <c r="B218" s="169"/>
      <c r="C218" s="193"/>
      <c r="D218" s="239" t="s">
        <v>416</v>
      </c>
      <c r="E218" s="185" t="s">
        <v>416</v>
      </c>
      <c r="F218" s="185"/>
      <c r="G218" s="160"/>
      <c r="H218" s="185"/>
      <c r="I218" s="267"/>
    </row>
    <row r="219" spans="2:22" ht="15.75">
      <c r="B219" s="169">
        <f>B217+1</f>
        <v>126</v>
      </c>
      <c r="C219" s="170"/>
      <c r="D219" s="240" t="s">
        <v>376</v>
      </c>
      <c r="E219" s="185"/>
      <c r="F219" s="185"/>
      <c r="G219" s="185"/>
      <c r="H219" s="185"/>
      <c r="I219" s="267"/>
      <c r="K219" s="334" t="s">
        <v>377</v>
      </c>
      <c r="L219" s="335">
        <f>L217/(F217+G217)</f>
        <v>0.98879321583825608</v>
      </c>
    </row>
    <row r="220" spans="2:22" ht="15.75">
      <c r="B220" s="169"/>
      <c r="C220" s="170"/>
      <c r="D220" s="240"/>
      <c r="E220" s="185"/>
      <c r="F220" s="185"/>
      <c r="G220" s="185"/>
      <c r="H220" s="185"/>
      <c r="I220" s="267"/>
      <c r="K220" s="334"/>
      <c r="L220" s="335"/>
    </row>
    <row r="221" spans="2:22" ht="15.75">
      <c r="B221" s="169"/>
      <c r="C221" s="170"/>
      <c r="D221" s="336" t="s">
        <v>159</v>
      </c>
      <c r="E221" s="185"/>
      <c r="F221" s="185"/>
      <c r="G221" s="185"/>
      <c r="H221" s="185"/>
      <c r="I221" s="196"/>
      <c r="J221" s="167"/>
      <c r="K221" s="167"/>
      <c r="L221" s="167"/>
      <c r="M221" s="167"/>
    </row>
    <row r="222" spans="2:22" ht="15.75" thickBot="1">
      <c r="B222" s="169">
        <f>B219+1</f>
        <v>127</v>
      </c>
      <c r="C222" s="170"/>
      <c r="D222" s="239" t="s">
        <v>490</v>
      </c>
      <c r="E222" s="185"/>
      <c r="F222" s="185"/>
      <c r="G222" s="185"/>
      <c r="H222" s="185"/>
      <c r="I222" s="185"/>
      <c r="J222" s="185"/>
      <c r="K222" s="185"/>
      <c r="L222" s="337" t="s">
        <v>444</v>
      </c>
      <c r="M222" s="167"/>
    </row>
    <row r="223" spans="2:22" ht="15.75">
      <c r="B223" s="169">
        <f>B222+1</f>
        <v>128</v>
      </c>
      <c r="C223" s="170"/>
      <c r="D223" s="185" t="s">
        <v>510</v>
      </c>
      <c r="E223" s="160" t="str">
        <f>"(Worksheet M, ln."&amp;'WS M - Cost of Capital'!A55&amp;", col."&amp;'WS M - Cost of Capital'!E47&amp;")"</f>
        <v>(Worksheet M, ln.36, col.(d))</v>
      </c>
      <c r="F223" s="185"/>
      <c r="G223" s="257"/>
      <c r="H223" s="257"/>
      <c r="I223" s="257"/>
      <c r="J223" s="272" t="s">
        <v>416</v>
      </c>
      <c r="K223" s="185"/>
      <c r="L223" s="338">
        <f>'WS M - Cost of Capital'!E55</f>
        <v>50146847.100000001</v>
      </c>
      <c r="M223" s="185"/>
      <c r="N223" s="160"/>
      <c r="O223" s="160"/>
      <c r="P223" s="160"/>
      <c r="Q223" s="160"/>
      <c r="R223" s="160"/>
      <c r="S223" s="160"/>
      <c r="T223" s="160"/>
      <c r="U223" s="160"/>
      <c r="V223" s="160"/>
    </row>
    <row r="224" spans="2:22">
      <c r="B224" s="169">
        <f t="shared" ref="B224:B230" si="9">B223+1</f>
        <v>129</v>
      </c>
      <c r="C224" s="170"/>
      <c r="D224" s="185" t="s">
        <v>511</v>
      </c>
      <c r="E224" s="160" t="str">
        <f>"(Worksheet M, ln. "&amp;'WS M - Cost of Capital'!A75&amp;", col."&amp;'WS M - Cost of Capital'!E47&amp;")"</f>
        <v>(Worksheet M, ln. 45, col.(d))</v>
      </c>
      <c r="F224" s="185"/>
      <c r="G224" s="257"/>
      <c r="H224" s="257"/>
      <c r="I224" s="257"/>
      <c r="J224" s="185"/>
      <c r="K224" s="185"/>
      <c r="L224" s="202">
        <f>'WS M - Cost of Capital'!E75</f>
        <v>0</v>
      </c>
      <c r="M224" s="185"/>
      <c r="N224" s="160"/>
      <c r="O224" s="160"/>
      <c r="P224" s="160"/>
      <c r="Q224" s="160"/>
      <c r="R224" s="160"/>
      <c r="S224" s="160"/>
      <c r="T224" s="160"/>
      <c r="U224" s="160"/>
      <c r="V224" s="160"/>
    </row>
    <row r="225" spans="2:13">
      <c r="B225" s="169">
        <f t="shared" si="9"/>
        <v>130</v>
      </c>
      <c r="C225" s="170"/>
      <c r="D225" s="339" t="s">
        <v>29</v>
      </c>
      <c r="E225" s="185"/>
      <c r="F225" s="185"/>
      <c r="G225" s="185"/>
      <c r="H225" s="341"/>
      <c r="I225" s="1395"/>
      <c r="J225" s="185"/>
      <c r="K225" s="185"/>
      <c r="L225" s="202"/>
      <c r="M225" s="167"/>
    </row>
    <row r="226" spans="2:13">
      <c r="B226" s="169">
        <f t="shared" si="9"/>
        <v>131</v>
      </c>
      <c r="C226" s="170"/>
      <c r="D226" s="185" t="s">
        <v>30</v>
      </c>
      <c r="E226" s="160" t="str">
        <f>"(Worksheet M, ln. "&amp;'WS M - Cost of Capital'!A23&amp;", col."&amp;'WS M - Cost of Capital'!C8&amp;")"</f>
        <v>(Worksheet M, ln. 14, col.(b))</v>
      </c>
      <c r="F226" s="185"/>
      <c r="G226" s="180"/>
      <c r="H226" s="341"/>
      <c r="I226" s="185"/>
      <c r="J226" s="185"/>
      <c r="K226" s="185"/>
      <c r="L226" s="202">
        <f>'WS M - Cost of Capital'!C23</f>
        <v>1646836177.9882307</v>
      </c>
      <c r="M226" s="167"/>
    </row>
    <row r="227" spans="2:13">
      <c r="B227" s="169">
        <f t="shared" si="9"/>
        <v>132</v>
      </c>
      <c r="C227" s="170"/>
      <c r="D227" s="185" t="s">
        <v>173</v>
      </c>
      <c r="E227" s="160" t="str">
        <f>"(Worksheet M, ln. "&amp;'WS M - Cost of Capital'!A23&amp;", col."&amp;'WS M - Cost of Capital'!D8&amp;")"</f>
        <v>(Worksheet M, ln. 14, col.(c))</v>
      </c>
      <c r="F227" s="185"/>
      <c r="G227" s="185"/>
      <c r="H227" s="341"/>
      <c r="I227" s="185"/>
      <c r="J227" s="185"/>
      <c r="K227" s="185"/>
      <c r="L227" s="202">
        <f>'WS M - Cost of Capital'!D23</f>
        <v>0</v>
      </c>
      <c r="M227" s="167"/>
    </row>
    <row r="228" spans="2:13">
      <c r="B228" s="169">
        <f t="shared" si="9"/>
        <v>133</v>
      </c>
      <c r="C228" s="170"/>
      <c r="D228" s="185" t="s">
        <v>166</v>
      </c>
      <c r="E228" s="160" t="str">
        <f>"(Worksheet M, ln. "&amp;'WS M - Cost of Capital'!A23&amp;", col."&amp;'WS M - Cost of Capital'!E8&amp;")"</f>
        <v>(Worksheet M, ln. 14, col.(d))</v>
      </c>
      <c r="F228" s="185"/>
      <c r="G228" s="185"/>
      <c r="H228" s="341"/>
      <c r="I228" s="185"/>
      <c r="J228" s="185"/>
      <c r="K228" s="185"/>
      <c r="L228" s="202">
        <f>'WS M - Cost of Capital'!E23</f>
        <v>0</v>
      </c>
      <c r="M228" s="167"/>
    </row>
    <row r="229" spans="2:13">
      <c r="B229" s="169">
        <f t="shared" si="9"/>
        <v>134</v>
      </c>
      <c r="C229" s="170"/>
      <c r="D229" s="185" t="s">
        <v>172</v>
      </c>
      <c r="E229" s="160" t="str">
        <f>"(Worksheet M, ln. "&amp;'WS M - Cost of Capital'!A23&amp;", col."&amp;'WS M - Cost of Capital'!F8&amp;")"</f>
        <v>(Worksheet M, ln. 14, col.(e))</v>
      </c>
      <c r="F229" s="185"/>
      <c r="G229" s="185"/>
      <c r="H229" s="341"/>
      <c r="I229" s="185"/>
      <c r="J229" s="185"/>
      <c r="K229" s="185"/>
      <c r="L229" s="1225">
        <f>'WS M - Cost of Capital'!F23</f>
        <v>0</v>
      </c>
      <c r="M229" s="167"/>
    </row>
    <row r="230" spans="2:13">
      <c r="B230" s="169">
        <f t="shared" si="9"/>
        <v>135</v>
      </c>
      <c r="C230" s="170"/>
      <c r="D230" s="155" t="s">
        <v>31</v>
      </c>
      <c r="E230" s="340" t="str">
        <f>"(ln "&amp;B226&amp;" - ln "&amp;B227&amp;" - ln "&amp;B228&amp;" - ln "&amp;B229&amp;")"</f>
        <v>(ln 131 - ln 132 - ln 133 - ln 134)</v>
      </c>
      <c r="F230" s="342"/>
      <c r="G230" s="160"/>
      <c r="H230" s="180"/>
      <c r="I230" s="180"/>
      <c r="J230" s="180"/>
      <c r="K230" s="180"/>
      <c r="L230" s="202">
        <f>L226-L227-L228-L229</f>
        <v>1646836177.9882307</v>
      </c>
      <c r="M230" s="167"/>
    </row>
    <row r="231" spans="2:13" ht="15.75">
      <c r="B231" s="169"/>
      <c r="C231" s="170"/>
      <c r="D231" s="239"/>
      <c r="E231" s="185"/>
      <c r="F231" s="185"/>
      <c r="G231" s="1488" t="s">
        <v>274</v>
      </c>
      <c r="H231" s="1488"/>
      <c r="I231" s="185"/>
      <c r="J231" s="267" t="s">
        <v>445</v>
      </c>
      <c r="K231" s="185"/>
      <c r="L231" s="185"/>
      <c r="M231" s="167"/>
    </row>
    <row r="232" spans="2:13" ht="15.75" thickBot="1">
      <c r="B232" s="169"/>
      <c r="C232" s="170"/>
      <c r="D232" s="239"/>
      <c r="E232" s="160"/>
      <c r="F232" s="185"/>
      <c r="G232" s="343" t="s">
        <v>444</v>
      </c>
      <c r="H232" s="343" t="s">
        <v>446</v>
      </c>
      <c r="I232" s="337" t="s">
        <v>833</v>
      </c>
      <c r="J232" s="344" t="s">
        <v>554</v>
      </c>
      <c r="K232" s="185"/>
      <c r="L232" s="343" t="s">
        <v>447</v>
      </c>
      <c r="M232" s="167"/>
    </row>
    <row r="233" spans="2:13" ht="15.75">
      <c r="B233" s="169">
        <f>B230+1</f>
        <v>136</v>
      </c>
      <c r="C233" s="170"/>
      <c r="D233" s="239" t="str">
        <f>"  Long Term Debt  (Note S) Worksheet M, ln "&amp;'WS M - Cost of Capital'!A42&amp;", col. (g), ln "&amp;'WS M - Cost of Capital'!A57&amp;", col. "&amp;'WS M - Cost of Capital'!E47&amp;")"</f>
        <v xml:space="preserve">  Long Term Debt  (Note S) Worksheet M, ln 28, col. (g), ln 37, col. (d))</v>
      </c>
      <c r="E233" s="160"/>
      <c r="F233" s="272" t="s">
        <v>416</v>
      </c>
      <c r="G233" s="202">
        <f>'WS M - Cost of Capital'!H42</f>
        <v>1310988461.5384614</v>
      </c>
      <c r="H233" s="1332">
        <f>IF($G$236=0,0,G233/$G$236)</f>
        <v>0.44322724343395969</v>
      </c>
      <c r="I233" s="1320">
        <f>IF(H235&gt;E238,1-I235,H233)</f>
        <v>0.44999999999999996</v>
      </c>
      <c r="J233" s="345">
        <f>IF(G233=0,0,L223/G233)</f>
        <v>3.8251173500910944E-2</v>
      </c>
      <c r="K233" s="160"/>
      <c r="L233" s="1461">
        <f>IF(H235&gt;I235,I233*J233,H233*J233)</f>
        <v>1.7213028075409923E-2</v>
      </c>
      <c r="M233" s="167"/>
    </row>
    <row r="234" spans="2:13">
      <c r="B234" s="169">
        <f>B233+1</f>
        <v>137</v>
      </c>
      <c r="C234" s="170"/>
      <c r="D234" s="239" t="str">
        <f>"  Preferred Stock (ln "&amp;B227&amp;")"</f>
        <v xml:space="preserve">  Preferred Stock (ln 132)</v>
      </c>
      <c r="E234" s="160"/>
      <c r="F234" s="160"/>
      <c r="G234" s="202">
        <f>L227</f>
        <v>0</v>
      </c>
      <c r="H234" s="345">
        <f>IF($G$236=0,0,G234/$G$236)</f>
        <v>0</v>
      </c>
      <c r="I234" s="1320">
        <f>H234</f>
        <v>0</v>
      </c>
      <c r="J234" s="345">
        <f>IF(G234=0,0,L224/G234)</f>
        <v>0</v>
      </c>
      <c r="K234" s="160"/>
      <c r="L234" s="346">
        <f>H234*J234</f>
        <v>0</v>
      </c>
      <c r="M234" s="167"/>
    </row>
    <row r="235" spans="2:13" ht="15.75" thickBot="1">
      <c r="B235" s="169">
        <f>B234+1</f>
        <v>138</v>
      </c>
      <c r="C235" s="170"/>
      <c r="D235" s="239" t="str">
        <f>"  Common Stock (ln "&amp;B230&amp;")"</f>
        <v xml:space="preserve">  Common Stock (ln 135)</v>
      </c>
      <c r="E235" s="160"/>
      <c r="F235" s="160"/>
      <c r="G235" s="241">
        <f>L230</f>
        <v>1646836177.9882307</v>
      </c>
      <c r="H235" s="347">
        <f>IF($G$236=0,0,G235/$G$236)</f>
        <v>0.55677275656604019</v>
      </c>
      <c r="I235" s="1320">
        <f>IF(H235&gt;E238,E238,H235)</f>
        <v>0.55000000000000004</v>
      </c>
      <c r="J235" s="411">
        <v>0.10349999999999999</v>
      </c>
      <c r="K235" s="160"/>
      <c r="L235" s="348">
        <f>IF(H235&gt;E238,I235*J235,H235*J235)</f>
        <v>5.6925000000000003E-2</v>
      </c>
      <c r="M235" s="167"/>
    </row>
    <row r="236" spans="2:13" ht="15.75">
      <c r="B236" s="169">
        <f>B235+1</f>
        <v>139</v>
      </c>
      <c r="C236" s="170"/>
      <c r="D236" s="239" t="str">
        <f>" Total (Sum lns "&amp;B233&amp;" to "&amp;B235&amp;")"</f>
        <v xml:space="preserve"> Total (Sum lns 136 to 138)</v>
      </c>
      <c r="E236" s="160"/>
      <c r="F236" s="160"/>
      <c r="G236" s="202">
        <f>SUM(G233:G235)</f>
        <v>2957824639.5266924</v>
      </c>
      <c r="H236" s="209">
        <f>SUM(H233:H235)</f>
        <v>0.99999999999999989</v>
      </c>
      <c r="I236" s="185"/>
      <c r="J236" s="349"/>
      <c r="K236" s="256" t="s">
        <v>364</v>
      </c>
      <c r="L236" s="1307">
        <f>SUM(L233:L235)</f>
        <v>7.4138028075409923E-2</v>
      </c>
      <c r="M236" s="167"/>
    </row>
    <row r="237" spans="2:13" ht="15.75">
      <c r="B237" s="169"/>
      <c r="C237" s="170"/>
      <c r="D237" s="239"/>
      <c r="E237" s="160"/>
      <c r="F237" s="160"/>
      <c r="G237" s="202"/>
      <c r="H237" s="209"/>
      <c r="I237" s="185"/>
      <c r="J237" s="349"/>
      <c r="K237" s="256"/>
      <c r="L237" s="1307"/>
      <c r="M237" s="167"/>
    </row>
    <row r="238" spans="2:13">
      <c r="B238" s="192">
        <f>B236+1</f>
        <v>140</v>
      </c>
      <c r="C238" s="193"/>
      <c r="D238" s="239" t="s">
        <v>832</v>
      </c>
      <c r="E238" s="1320">
        <v>0.55000000000000004</v>
      </c>
      <c r="F238" s="185"/>
      <c r="G238" s="185"/>
      <c r="H238" s="185"/>
      <c r="I238" s="196"/>
      <c r="J238" s="167"/>
      <c r="K238" s="167"/>
      <c r="L238" s="167"/>
      <c r="M238" s="167"/>
    </row>
    <row r="239" spans="2:13" ht="15.75" hidden="1">
      <c r="B239" s="350"/>
      <c r="C239" s="351"/>
      <c r="D239" s="352" t="s">
        <v>225</v>
      </c>
      <c r="E239" s="353"/>
      <c r="F239" s="354"/>
      <c r="G239" s="355"/>
      <c r="H239" s="354"/>
      <c r="I239" s="354"/>
      <c r="J239" s="354"/>
      <c r="K239" s="356"/>
      <c r="L239" s="357"/>
      <c r="M239" s="167"/>
    </row>
    <row r="240" spans="2:13" ht="15.75" hidden="1" thickBot="1">
      <c r="B240" s="350">
        <f>B236+1</f>
        <v>140</v>
      </c>
      <c r="C240" s="351"/>
      <c r="D240" s="358" t="s">
        <v>490</v>
      </c>
      <c r="E240" s="354"/>
      <c r="F240" s="354"/>
      <c r="G240" s="354"/>
      <c r="H240" s="354"/>
      <c r="I240" s="354"/>
      <c r="J240" s="354"/>
      <c r="K240" s="354"/>
      <c r="L240" s="359" t="s">
        <v>444</v>
      </c>
      <c r="M240" s="167"/>
    </row>
    <row r="241" spans="2:19" hidden="1">
      <c r="B241" s="350">
        <f t="shared" ref="B241:B248" si="10">+B240+1</f>
        <v>141</v>
      </c>
      <c r="C241" s="351"/>
      <c r="D241" s="354" t="s">
        <v>510</v>
      </c>
      <c r="E241" s="355" t="str">
        <f>"(Worksheet Q, ln. "&amp;'WS Q Cap Structure'!A199&amp;")"</f>
        <v>(Worksheet Q, ln. 132)</v>
      </c>
      <c r="F241" s="354"/>
      <c r="G241" s="354"/>
      <c r="H241" s="354"/>
      <c r="I241" s="354"/>
      <c r="J241" s="354"/>
      <c r="K241" s="354"/>
      <c r="L241" s="360">
        <f>'WS Q Cap Structure'!J199</f>
        <v>0</v>
      </c>
      <c r="M241" s="167"/>
    </row>
    <row r="242" spans="2:19" hidden="1">
      <c r="B242" s="350">
        <f t="shared" si="10"/>
        <v>142</v>
      </c>
      <c r="C242" s="351"/>
      <c r="D242" s="354" t="s">
        <v>511</v>
      </c>
      <c r="E242" s="355" t="str">
        <f>"(Worksheet Q, ln. "&amp;'WS Q Cap Structure'!A203&amp;")"</f>
        <v>(Worksheet Q, ln. 134)</v>
      </c>
      <c r="F242" s="354"/>
      <c r="G242" s="354"/>
      <c r="H242" s="354"/>
      <c r="I242" s="354"/>
      <c r="J242" s="354"/>
      <c r="K242" s="354"/>
      <c r="L242" s="360">
        <f>'WS Q Cap Structure'!J203</f>
        <v>0</v>
      </c>
      <c r="M242" s="167"/>
    </row>
    <row r="243" spans="2:19" hidden="1">
      <c r="B243" s="350">
        <f t="shared" si="10"/>
        <v>143</v>
      </c>
      <c r="C243" s="351"/>
      <c r="D243" s="361" t="s">
        <v>29</v>
      </c>
      <c r="E243" s="354"/>
      <c r="F243" s="354"/>
      <c r="G243" s="354"/>
      <c r="H243" s="362"/>
      <c r="I243" s="354"/>
      <c r="J243" s="354"/>
      <c r="K243" s="354"/>
      <c r="L243" s="360"/>
      <c r="M243" s="167"/>
    </row>
    <row r="244" spans="2:19" hidden="1">
      <c r="B244" s="350">
        <f t="shared" si="10"/>
        <v>144</v>
      </c>
      <c r="C244" s="351"/>
      <c r="D244" s="354" t="s">
        <v>30</v>
      </c>
      <c r="E244" s="355" t="str">
        <f>"(Worksheet Q, ln. "&amp;'WS Q Cap Structure'!A206&amp;")"</f>
        <v>(Worksheet Q, ln. 135)</v>
      </c>
      <c r="F244" s="354"/>
      <c r="G244" s="363"/>
      <c r="H244" s="364"/>
      <c r="I244" s="354"/>
      <c r="J244" s="354"/>
      <c r="K244" s="354"/>
      <c r="L244" s="365" t="e">
        <f>'WS Q Cap Structure'!J206</f>
        <v>#DIV/0!</v>
      </c>
      <c r="M244" s="167"/>
    </row>
    <row r="245" spans="2:19" hidden="1">
      <c r="B245" s="350">
        <f t="shared" si="10"/>
        <v>145</v>
      </c>
      <c r="C245" s="351"/>
      <c r="D245" s="354" t="s">
        <v>173</v>
      </c>
      <c r="E245" s="355" t="str">
        <f>"(Worksheet Q, ln. "&amp;'WS Q Cap Structure'!A207&amp;")"</f>
        <v>(Worksheet Q, ln. 136)</v>
      </c>
      <c r="F245" s="354"/>
      <c r="G245" s="354"/>
      <c r="H245" s="364"/>
      <c r="I245" s="354"/>
      <c r="J245" s="354"/>
      <c r="K245" s="354"/>
      <c r="L245" s="365">
        <f>'WS Q Cap Structure'!J207</f>
        <v>0</v>
      </c>
      <c r="M245" s="167"/>
    </row>
    <row r="246" spans="2:19" hidden="1">
      <c r="B246" s="350">
        <f>+B245+1</f>
        <v>146</v>
      </c>
      <c r="C246" s="351"/>
      <c r="D246" s="354" t="s">
        <v>166</v>
      </c>
      <c r="E246" s="355" t="str">
        <f>"(Worksheet Q, ln. "&amp;'WS Q Cap Structure'!A208&amp;")"</f>
        <v>(Worksheet Q, ln. 137)</v>
      </c>
      <c r="F246" s="354"/>
      <c r="G246" s="354"/>
      <c r="H246" s="364"/>
      <c r="I246" s="354"/>
      <c r="J246" s="354"/>
      <c r="K246" s="354"/>
      <c r="L246" s="365" t="e">
        <f>'WS Q Cap Structure'!J208</f>
        <v>#DIV/0!</v>
      </c>
      <c r="M246" s="167"/>
    </row>
    <row r="247" spans="2:19" ht="15.75" hidden="1" thickBot="1">
      <c r="B247" s="350">
        <f t="shared" si="10"/>
        <v>147</v>
      </c>
      <c r="C247" s="351"/>
      <c r="D247" s="354" t="s">
        <v>172</v>
      </c>
      <c r="E247" s="355" t="str">
        <f>"(Worksheet Q, ln. "&amp;'WS Q Cap Structure'!A209&amp;")"</f>
        <v>(Worksheet Q, ln. 138)</v>
      </c>
      <c r="F247" s="354"/>
      <c r="G247" s="354"/>
      <c r="H247" s="364"/>
      <c r="I247" s="354"/>
      <c r="J247" s="366"/>
      <c r="K247" s="354"/>
      <c r="L247" s="367" t="e">
        <f>'WS Q Cap Structure'!J209</f>
        <v>#DIV/0!</v>
      </c>
      <c r="M247" s="167"/>
    </row>
    <row r="248" spans="2:19" hidden="1">
      <c r="B248" s="350">
        <f t="shared" si="10"/>
        <v>148</v>
      </c>
      <c r="C248" s="351"/>
      <c r="D248" s="355" t="s">
        <v>31</v>
      </c>
      <c r="E248" s="354" t="str">
        <f>"(ln "&amp;B244&amp;" - ln "&amp;B245&amp;" - ln "&amp;B246&amp;" - ln "&amp;B247&amp;")"</f>
        <v>(ln 144 - ln 145 - ln 146 - ln 147)</v>
      </c>
      <c r="F248" s="368"/>
      <c r="G248" s="355"/>
      <c r="H248" s="363"/>
      <c r="I248" s="363"/>
      <c r="J248" s="363"/>
      <c r="K248" s="363"/>
      <c r="L248" s="360" t="e">
        <f>+L244-L245-L246-L247</f>
        <v>#DIV/0!</v>
      </c>
      <c r="M248" s="167"/>
    </row>
    <row r="249" spans="2:19" ht="15.75" hidden="1">
      <c r="B249" s="350"/>
      <c r="C249" s="351"/>
      <c r="D249" s="358"/>
      <c r="E249" s="354"/>
      <c r="F249" s="354"/>
      <c r="G249" s="1487"/>
      <c r="H249" s="1487"/>
      <c r="I249" s="369"/>
      <c r="J249" s="355"/>
      <c r="K249" s="354"/>
      <c r="L249" s="354"/>
      <c r="M249" s="167"/>
    </row>
    <row r="250" spans="2:19" ht="15.75" hidden="1" thickBot="1">
      <c r="B250" s="350">
        <f>+B248+1</f>
        <v>149</v>
      </c>
      <c r="C250" s="351"/>
      <c r="D250" s="358"/>
      <c r="E250" s="355"/>
      <c r="F250" s="355"/>
      <c r="G250" s="370" t="s">
        <v>446</v>
      </c>
      <c r="H250" s="370" t="s">
        <v>444</v>
      </c>
      <c r="I250" s="369"/>
      <c r="J250" s="371" t="s">
        <v>445</v>
      </c>
      <c r="K250" s="354"/>
      <c r="L250" s="370" t="s">
        <v>447</v>
      </c>
      <c r="M250" s="167"/>
      <c r="N250" s="162"/>
      <c r="O250" s="162"/>
      <c r="P250" s="162"/>
      <c r="Q250" s="162"/>
      <c r="R250" s="162"/>
      <c r="S250" s="162"/>
    </row>
    <row r="251" spans="2:19" hidden="1">
      <c r="B251" s="350">
        <f>+B250+1</f>
        <v>150</v>
      </c>
      <c r="C251" s="351"/>
      <c r="D251" s="358" t="str">
        <f>"  Long Term Debt   (Worksheet Q, ln "&amp;'WS Q Cap Structure'!A213&amp;")"</f>
        <v xml:space="preserve">  Long Term Debt   (Worksheet Q, ln 140)</v>
      </c>
      <c r="E251" s="355"/>
      <c r="F251" s="355"/>
      <c r="G251" s="372" t="e">
        <f>'WS Q Cap Structure'!J218</f>
        <v>#DIV/0!</v>
      </c>
      <c r="H251" s="360" t="e">
        <f>$H$254*G251</f>
        <v>#DIV/0!</v>
      </c>
      <c r="I251" s="373"/>
      <c r="J251" s="366" t="e">
        <f>+L241/H251</f>
        <v>#DIV/0!</v>
      </c>
      <c r="K251" s="355"/>
      <c r="L251" s="374" t="e">
        <f>+G251*J251</f>
        <v>#DIV/0!</v>
      </c>
      <c r="M251" s="375"/>
      <c r="N251" s="162"/>
      <c r="O251" s="162"/>
      <c r="P251" s="162"/>
      <c r="Q251" s="162"/>
      <c r="R251" s="162"/>
      <c r="S251" s="162"/>
    </row>
    <row r="252" spans="2:19" hidden="1">
      <c r="B252" s="350">
        <f>+B251+1</f>
        <v>151</v>
      </c>
      <c r="C252" s="351"/>
      <c r="D252" s="358" t="str">
        <f>"  Preferred Stock (Worksheet Q, ln "&amp;'WS Q Cap Structure'!A214&amp;")"</f>
        <v xml:space="preserve">  Preferred Stock (Worksheet Q, ln 141)</v>
      </c>
      <c r="E252" s="355"/>
      <c r="F252" s="355"/>
      <c r="G252" s="372" t="e">
        <f>'WS Q Cap Structure'!J219</f>
        <v>#DIV/0!</v>
      </c>
      <c r="H252" s="360" t="e">
        <f>$H$254*G252</f>
        <v>#DIV/0!</v>
      </c>
      <c r="I252" s="373"/>
      <c r="J252" s="366">
        <f>IF(L242=0,0,+L242/H252)</f>
        <v>0</v>
      </c>
      <c r="K252" s="355"/>
      <c r="L252" s="376" t="e">
        <f>+G252*J252</f>
        <v>#DIV/0!</v>
      </c>
      <c r="M252" s="167"/>
    </row>
    <row r="253" spans="2:19" ht="15.75" hidden="1" thickBot="1">
      <c r="B253" s="350">
        <f>+B252+1</f>
        <v>152</v>
      </c>
      <c r="C253" s="351"/>
      <c r="D253" s="358" t="str">
        <f>"  Common Stock (Worksheet Q, ln "&amp;'WS Q Cap Structure'!A215&amp;")"</f>
        <v xml:space="preserve">  Common Stock (Worksheet Q, ln 142)</v>
      </c>
      <c r="E253" s="355"/>
      <c r="F253" s="355"/>
      <c r="G253" s="377" t="e">
        <f>'WS Q Cap Structure'!J220</f>
        <v>#DIV/0!</v>
      </c>
      <c r="H253" s="378" t="e">
        <f>$H$254*G253</f>
        <v>#DIV/0!</v>
      </c>
      <c r="I253" s="373"/>
      <c r="J253" s="151">
        <v>0.1149</v>
      </c>
      <c r="K253" s="355"/>
      <c r="L253" s="379" t="e">
        <f>+G253*J253</f>
        <v>#DIV/0!</v>
      </c>
      <c r="M253" s="167"/>
    </row>
    <row r="254" spans="2:19" ht="15.75" hidden="1">
      <c r="B254" s="350">
        <f>+B253+1</f>
        <v>153</v>
      </c>
      <c r="C254" s="351"/>
      <c r="D254" s="358" t="str">
        <f>" Total (Worksheet Q, ln "&amp;'WS Q Cap Structure'!A216&amp;")"</f>
        <v xml:space="preserve"> Total (Worksheet Q, ln 143)</v>
      </c>
      <c r="E254" s="355"/>
      <c r="F254" s="355"/>
      <c r="G254" s="355"/>
      <c r="H254" s="360" t="e">
        <f>'WS Q Cap Structure'!J216</f>
        <v>#DIV/0!</v>
      </c>
      <c r="I254" s="369"/>
      <c r="J254" s="380"/>
      <c r="K254" s="381" t="s">
        <v>364</v>
      </c>
      <c r="L254" s="382" t="e">
        <f>SUM(L251:L253)</f>
        <v>#DIV/0!</v>
      </c>
      <c r="M254" s="383"/>
    </row>
    <row r="255" spans="2:19">
      <c r="B255" s="169"/>
      <c r="C255" s="208"/>
      <c r="D255" s="308"/>
      <c r="E255" s="260"/>
      <c r="F255" s="384"/>
      <c r="G255" s="384"/>
      <c r="H255" s="384"/>
      <c r="I255" s="384"/>
      <c r="J255" s="385"/>
      <c r="K255" s="385"/>
      <c r="L255" s="385"/>
      <c r="M255" s="386"/>
      <c r="N255" s="180"/>
      <c r="O255" s="180"/>
      <c r="P255" s="180"/>
      <c r="Q255" s="180"/>
      <c r="R255" s="180"/>
      <c r="S255" s="180"/>
    </row>
    <row r="256" spans="2:19">
      <c r="B256" s="169"/>
      <c r="C256" s="208"/>
      <c r="D256" s="208"/>
      <c r="E256" s="172"/>
      <c r="F256" s="172"/>
      <c r="G256" s="172"/>
      <c r="H256" s="172"/>
      <c r="I256" s="172"/>
      <c r="J256" s="167"/>
      <c r="K256" s="165"/>
      <c r="L256" s="167"/>
      <c r="M256" s="165"/>
      <c r="N256" s="180"/>
      <c r="O256" s="180"/>
      <c r="P256" s="180"/>
      <c r="Q256" s="180"/>
      <c r="R256" s="180"/>
      <c r="S256" s="180"/>
    </row>
    <row r="257" spans="2:19" ht="15.75">
      <c r="B257" s="265"/>
      <c r="C257" s="170"/>
      <c r="D257" s="157"/>
      <c r="E257" s="157"/>
      <c r="F257" s="267" t="str">
        <f>F194</f>
        <v>AEPTCo subsidiaries in PJM</v>
      </c>
      <c r="G257" s="158"/>
      <c r="H257" s="167"/>
      <c r="I257" s="167"/>
      <c r="J257" s="167"/>
      <c r="K257" s="165"/>
      <c r="L257" s="167"/>
      <c r="M257" s="218"/>
      <c r="N257" s="180"/>
      <c r="O257" s="180"/>
      <c r="P257" s="180"/>
      <c r="Q257" s="180"/>
      <c r="R257" s="180"/>
      <c r="S257" s="180"/>
    </row>
    <row r="258" spans="2:19">
      <c r="B258" s="265"/>
      <c r="C258" s="170"/>
      <c r="D258" s="387"/>
      <c r="E258" s="170"/>
      <c r="F258" s="267" t="str">
        <f>F195</f>
        <v>Transmission Cost of Service Formula Rate</v>
      </c>
      <c r="G258" s="167"/>
      <c r="H258" s="167"/>
      <c r="I258" s="167"/>
      <c r="J258" s="167"/>
      <c r="K258" s="165"/>
      <c r="L258" s="183"/>
      <c r="M258" s="388"/>
      <c r="N258" s="180"/>
      <c r="O258" s="180"/>
      <c r="P258" s="180"/>
      <c r="Q258" s="180"/>
      <c r="R258" s="180"/>
      <c r="S258" s="180"/>
    </row>
    <row r="259" spans="2:19" ht="15.75">
      <c r="B259" s="265"/>
      <c r="C259" s="170"/>
      <c r="D259" s="387"/>
      <c r="E259" s="270"/>
      <c r="F259" s="267" t="str">
        <f>F196</f>
        <v>Utilizing  Actual/Projected FERC Form 1 Data</v>
      </c>
      <c r="G259" s="167"/>
      <c r="H259" s="167"/>
      <c r="I259" s="167"/>
      <c r="J259" s="167"/>
      <c r="K259" s="165"/>
      <c r="L259" s="183"/>
      <c r="M259" s="218"/>
      <c r="N259" s="180"/>
      <c r="O259" s="180"/>
      <c r="P259" s="180"/>
      <c r="Q259" s="180"/>
      <c r="R259" s="180"/>
      <c r="S259" s="180"/>
    </row>
    <row r="260" spans="2:19" ht="15.75">
      <c r="B260" s="169"/>
      <c r="C260" s="170"/>
      <c r="D260" s="387"/>
      <c r="E260" s="270"/>
      <c r="F260" s="267"/>
      <c r="G260" s="167"/>
      <c r="H260" s="167"/>
      <c r="I260" s="167"/>
      <c r="J260" s="167"/>
      <c r="K260" s="165"/>
      <c r="L260" s="183"/>
      <c r="M260" s="160"/>
      <c r="N260" s="180"/>
      <c r="O260" s="180"/>
      <c r="P260" s="180"/>
      <c r="Q260" s="180"/>
      <c r="R260" s="180"/>
      <c r="S260" s="180"/>
    </row>
    <row r="261" spans="2:19" ht="15.75">
      <c r="B261" s="169"/>
      <c r="C261" s="170"/>
      <c r="D261" s="387"/>
      <c r="E261" s="270"/>
      <c r="F261" s="267" t="str">
        <f>F198</f>
        <v>AEP Indiana Michigan Transmission Company</v>
      </c>
      <c r="G261" s="167"/>
      <c r="H261" s="167"/>
      <c r="I261" s="167"/>
      <c r="J261" s="167"/>
      <c r="K261" s="165"/>
      <c r="L261" s="183"/>
      <c r="M261" s="160"/>
      <c r="N261" s="180"/>
      <c r="O261" s="180"/>
      <c r="P261" s="180"/>
      <c r="Q261" s="180"/>
      <c r="R261" s="180"/>
      <c r="S261" s="180"/>
    </row>
    <row r="262" spans="2:19" ht="15.75">
      <c r="B262" s="169"/>
      <c r="C262" s="170"/>
      <c r="D262" s="387"/>
      <c r="E262" s="270"/>
      <c r="F262" s="267"/>
      <c r="G262" s="167"/>
      <c r="H262" s="167"/>
      <c r="I262" s="167"/>
      <c r="J262" s="167"/>
      <c r="K262" s="165"/>
      <c r="L262" s="183"/>
      <c r="M262" s="160"/>
      <c r="N262" s="180"/>
      <c r="O262" s="180"/>
      <c r="P262" s="180"/>
      <c r="Q262" s="180"/>
      <c r="R262" s="180"/>
      <c r="S262" s="180"/>
    </row>
    <row r="263" spans="2:19" ht="15.75">
      <c r="B263" s="389" t="s">
        <v>476</v>
      </c>
      <c r="C263" s="177"/>
      <c r="D263" s="204"/>
      <c r="E263" s="180"/>
      <c r="F263" s="389" t="s">
        <v>475</v>
      </c>
      <c r="G263" s="185"/>
      <c r="H263" s="185"/>
      <c r="I263" s="185"/>
      <c r="J263" s="185" t="s">
        <v>625</v>
      </c>
      <c r="K263" s="180"/>
      <c r="L263" s="185"/>
      <c r="M263" s="160"/>
      <c r="N263" s="180"/>
      <c r="O263" s="180"/>
      <c r="P263" s="180"/>
      <c r="Q263" s="180"/>
      <c r="R263" s="180"/>
      <c r="S263" s="180"/>
    </row>
    <row r="264" spans="2:19">
      <c r="C264" s="177"/>
      <c r="L264" s="183"/>
      <c r="M264" s="160"/>
      <c r="N264" s="180"/>
      <c r="O264" s="180"/>
      <c r="P264" s="180"/>
      <c r="Q264" s="180"/>
      <c r="R264" s="180"/>
      <c r="S264" s="180"/>
    </row>
    <row r="265" spans="2:19">
      <c r="B265" s="169"/>
      <c r="C265" s="170"/>
      <c r="D265" s="162" t="s">
        <v>334</v>
      </c>
      <c r="E265" s="193"/>
      <c r="F265" s="193"/>
      <c r="G265" s="185"/>
      <c r="H265" s="185"/>
      <c r="I265" s="185"/>
      <c r="J265" s="185"/>
      <c r="K265" s="180"/>
      <c r="L265" s="185"/>
      <c r="M265" s="180"/>
      <c r="N265" s="180"/>
      <c r="O265" s="180"/>
      <c r="P265" s="180"/>
      <c r="Q265" s="180"/>
      <c r="R265" s="180"/>
      <c r="S265" s="180"/>
    </row>
    <row r="266" spans="2:19">
      <c r="B266" s="155"/>
      <c r="D266" s="204"/>
      <c r="E266" s="180"/>
      <c r="F266" s="180"/>
      <c r="G266" s="185"/>
      <c r="H266" s="185"/>
      <c r="I266" s="185"/>
      <c r="J266" s="185"/>
      <c r="K266" s="180"/>
      <c r="L266" s="185"/>
      <c r="M266" s="180"/>
      <c r="N266" s="180"/>
      <c r="O266" s="180"/>
      <c r="P266" s="180"/>
      <c r="Q266" s="180"/>
      <c r="R266" s="180"/>
      <c r="S266" s="180"/>
    </row>
    <row r="267" spans="2:19">
      <c r="B267" s="155"/>
      <c r="D267" s="204"/>
      <c r="E267" s="180"/>
      <c r="F267" s="180"/>
      <c r="G267" s="185"/>
      <c r="H267" s="185"/>
      <c r="I267" s="185"/>
      <c r="J267" s="185"/>
      <c r="K267" s="180"/>
      <c r="L267" s="185"/>
      <c r="M267" s="180"/>
      <c r="N267" s="180"/>
      <c r="O267" s="180"/>
      <c r="P267" s="180"/>
      <c r="Q267" s="180"/>
      <c r="R267" s="180"/>
      <c r="S267" s="180"/>
    </row>
    <row r="268" spans="2:19">
      <c r="B268" s="390" t="s">
        <v>448</v>
      </c>
      <c r="C268" s="177"/>
      <c r="D268" s="204" t="s">
        <v>276</v>
      </c>
      <c r="E268" s="180"/>
      <c r="F268" s="180"/>
      <c r="G268" s="185"/>
      <c r="H268" s="185"/>
      <c r="I268" s="185"/>
      <c r="J268" s="185"/>
      <c r="K268" s="180"/>
      <c r="L268" s="185"/>
      <c r="M268" s="180"/>
      <c r="N268" s="180"/>
      <c r="O268" s="180"/>
      <c r="P268" s="180"/>
      <c r="Q268" s="180"/>
      <c r="R268" s="180"/>
      <c r="S268" s="180"/>
    </row>
    <row r="269" spans="2:19">
      <c r="B269" s="390"/>
      <c r="C269" s="268"/>
      <c r="D269" s="204" t="s">
        <v>174</v>
      </c>
      <c r="E269" s="180"/>
      <c r="F269" s="180"/>
      <c r="G269" s="180"/>
      <c r="H269" s="180"/>
      <c r="I269" s="180"/>
      <c r="J269" s="180"/>
      <c r="K269" s="180"/>
      <c r="L269" s="180"/>
      <c r="M269" s="180"/>
      <c r="N269" s="180"/>
      <c r="O269" s="180"/>
      <c r="P269" s="180"/>
      <c r="Q269" s="180"/>
      <c r="R269" s="180"/>
      <c r="S269" s="180"/>
    </row>
    <row r="270" spans="2:19">
      <c r="B270" s="391"/>
      <c r="C270" s="160"/>
      <c r="D270" s="155" t="s">
        <v>175</v>
      </c>
      <c r="E270" s="392"/>
      <c r="F270" s="392"/>
      <c r="G270" s="180"/>
      <c r="H270" s="180"/>
      <c r="I270" s="180"/>
      <c r="J270" s="180"/>
      <c r="K270" s="180"/>
      <c r="L270" s="180"/>
      <c r="M270" s="180"/>
      <c r="N270" s="180"/>
      <c r="O270" s="180"/>
      <c r="P270" s="180"/>
      <c r="Q270" s="180"/>
      <c r="R270" s="180"/>
      <c r="S270" s="180"/>
    </row>
    <row r="271" spans="2:19">
      <c r="B271" s="391"/>
      <c r="C271" s="160"/>
      <c r="D271" s="204" t="s">
        <v>277</v>
      </c>
      <c r="E271" s="180"/>
      <c r="F271" s="180"/>
      <c r="G271" s="180"/>
      <c r="H271" s="180"/>
      <c r="I271" s="180"/>
      <c r="J271" s="180"/>
      <c r="K271" s="180"/>
      <c r="L271" s="180"/>
      <c r="M271" s="180"/>
      <c r="N271" s="180"/>
      <c r="O271" s="180"/>
      <c r="P271" s="180"/>
      <c r="Q271" s="180"/>
      <c r="R271" s="180"/>
      <c r="S271" s="180"/>
    </row>
    <row r="272" spans="2:19">
      <c r="B272" s="192"/>
      <c r="C272" s="193"/>
      <c r="D272" s="204" t="s">
        <v>278</v>
      </c>
      <c r="E272" s="180"/>
      <c r="F272" s="180"/>
      <c r="G272" s="180"/>
      <c r="H272" s="180"/>
      <c r="I272" s="180"/>
      <c r="J272" s="180"/>
      <c r="K272" s="180"/>
      <c r="L272" s="180"/>
      <c r="M272" s="180"/>
      <c r="N272" s="180"/>
      <c r="O272" s="180"/>
      <c r="P272" s="180"/>
      <c r="Q272" s="180"/>
      <c r="R272" s="180"/>
      <c r="S272" s="180"/>
    </row>
    <row r="273" spans="2:19">
      <c r="B273" s="192"/>
      <c r="C273" s="193"/>
      <c r="D273" s="204" t="s">
        <v>176</v>
      </c>
      <c r="E273" s="180"/>
      <c r="F273" s="180"/>
      <c r="G273" s="180"/>
      <c r="H273" s="180"/>
      <c r="I273" s="180"/>
      <c r="J273" s="180"/>
      <c r="K273" s="180"/>
      <c r="L273" s="180"/>
      <c r="M273" s="180"/>
      <c r="N273" s="180"/>
      <c r="O273" s="180"/>
      <c r="P273" s="180"/>
      <c r="Q273" s="180"/>
      <c r="R273" s="180"/>
      <c r="S273" s="180"/>
    </row>
    <row r="274" spans="2:19">
      <c r="B274" s="192"/>
      <c r="C274" s="193"/>
      <c r="D274" s="204" t="s">
        <v>177</v>
      </c>
      <c r="E274" s="180"/>
      <c r="F274" s="180"/>
      <c r="G274" s="180"/>
      <c r="H274" s="180"/>
      <c r="I274" s="180"/>
      <c r="J274" s="180"/>
      <c r="K274" s="180"/>
      <c r="L274" s="180"/>
      <c r="M274" s="180"/>
      <c r="N274" s="180"/>
      <c r="O274" s="180"/>
      <c r="P274" s="180"/>
      <c r="Q274" s="180"/>
      <c r="R274" s="180"/>
      <c r="S274" s="180"/>
    </row>
    <row r="275" spans="2:19">
      <c r="B275" s="192"/>
      <c r="C275" s="193"/>
      <c r="D275" s="204" t="s">
        <v>613</v>
      </c>
      <c r="E275" s="180"/>
      <c r="F275" s="180"/>
      <c r="G275" s="180"/>
      <c r="H275" s="180"/>
      <c r="I275" s="180"/>
      <c r="J275" s="180"/>
      <c r="K275" s="180"/>
      <c r="L275" s="180"/>
      <c r="M275" s="180"/>
      <c r="N275" s="180"/>
      <c r="O275" s="180"/>
      <c r="P275" s="180"/>
      <c r="Q275" s="180"/>
      <c r="R275" s="180"/>
      <c r="S275" s="180"/>
    </row>
    <row r="276" spans="2:19">
      <c r="B276" s="192"/>
      <c r="C276" s="193"/>
      <c r="D276" s="204" t="s">
        <v>600</v>
      </c>
      <c r="E276" s="180"/>
      <c r="F276" s="180"/>
      <c r="G276" s="180"/>
      <c r="H276" s="180"/>
      <c r="I276" s="180"/>
      <c r="J276" s="180"/>
      <c r="K276" s="180"/>
      <c r="L276" s="180"/>
      <c r="M276" s="180"/>
      <c r="N276" s="180"/>
      <c r="O276" s="180"/>
      <c r="P276" s="180"/>
      <c r="Q276" s="180"/>
      <c r="R276" s="180"/>
      <c r="S276" s="180"/>
    </row>
    <row r="277" spans="2:19">
      <c r="B277" s="192"/>
      <c r="C277" s="193"/>
      <c r="D277" s="204" t="s">
        <v>614</v>
      </c>
      <c r="E277" s="180"/>
      <c r="F277" s="180"/>
      <c r="G277" s="180"/>
      <c r="H277" s="180"/>
      <c r="I277" s="180"/>
      <c r="J277" s="180"/>
      <c r="K277" s="180"/>
      <c r="L277" s="180"/>
      <c r="M277" s="180"/>
      <c r="N277" s="180"/>
      <c r="O277" s="180"/>
      <c r="P277" s="180"/>
      <c r="Q277" s="180"/>
      <c r="R277" s="180"/>
      <c r="S277" s="180"/>
    </row>
    <row r="278" spans="2:19">
      <c r="B278" s="192"/>
      <c r="C278" s="193"/>
      <c r="D278" s="204" t="s">
        <v>601</v>
      </c>
      <c r="E278" s="180"/>
      <c r="F278" s="180"/>
      <c r="G278" s="180"/>
      <c r="H278" s="180"/>
      <c r="I278" s="180"/>
      <c r="J278" s="180"/>
      <c r="K278" s="180"/>
      <c r="L278" s="180"/>
      <c r="M278" s="180"/>
      <c r="N278" s="180"/>
      <c r="O278" s="180"/>
      <c r="P278" s="180"/>
      <c r="Q278" s="180"/>
      <c r="R278" s="180"/>
      <c r="S278" s="180"/>
    </row>
    <row r="279" spans="2:19">
      <c r="B279" s="192"/>
      <c r="C279" s="193"/>
      <c r="D279" s="204" t="s">
        <v>283</v>
      </c>
      <c r="E279" s="180"/>
      <c r="F279" s="180"/>
      <c r="G279" s="180"/>
      <c r="H279" s="180"/>
      <c r="I279" s="180"/>
      <c r="J279" s="180"/>
      <c r="K279" s="180"/>
      <c r="L279" s="180"/>
      <c r="M279" s="180"/>
      <c r="N279" s="180"/>
      <c r="O279" s="180"/>
      <c r="P279" s="180"/>
      <c r="Q279" s="180"/>
      <c r="R279" s="180"/>
      <c r="S279" s="180"/>
    </row>
    <row r="280" spans="2:19">
      <c r="B280" s="192"/>
      <c r="C280" s="193"/>
      <c r="D280" s="385"/>
      <c r="E280" s="180"/>
      <c r="F280" s="180"/>
      <c r="G280" s="180"/>
      <c r="H280" s="180"/>
      <c r="I280" s="180"/>
      <c r="J280" s="180"/>
      <c r="K280" s="180"/>
      <c r="L280" s="204"/>
      <c r="M280" s="180"/>
      <c r="N280" s="180"/>
      <c r="O280" s="180"/>
      <c r="P280" s="180"/>
      <c r="Q280" s="180"/>
      <c r="R280" s="180"/>
      <c r="S280" s="180"/>
    </row>
    <row r="281" spans="2:19" ht="15" customHeight="1">
      <c r="B281" s="192" t="s">
        <v>449</v>
      </c>
      <c r="C281" s="193"/>
      <c r="D281" s="1489" t="s">
        <v>615</v>
      </c>
      <c r="E281" s="1483"/>
      <c r="F281" s="1483"/>
      <c r="G281" s="1483"/>
      <c r="H281" s="1483"/>
      <c r="I281" s="1483"/>
      <c r="J281" s="1483"/>
      <c r="K281" s="1483"/>
      <c r="L281" s="204"/>
      <c r="M281" s="180"/>
      <c r="N281" s="180"/>
      <c r="O281" s="180"/>
      <c r="P281" s="180"/>
      <c r="Q281" s="180"/>
      <c r="R281" s="180"/>
      <c r="S281" s="180"/>
    </row>
    <row r="282" spans="2:19">
      <c r="B282" s="192"/>
      <c r="C282" s="193"/>
      <c r="D282" s="1483"/>
      <c r="E282" s="1483"/>
      <c r="F282" s="1483"/>
      <c r="G282" s="1483"/>
      <c r="H282" s="1483"/>
      <c r="I282" s="1483"/>
      <c r="J282" s="1483"/>
      <c r="K282" s="1483"/>
      <c r="L282" s="204"/>
      <c r="M282" s="180"/>
      <c r="N282" s="180"/>
      <c r="O282" s="180"/>
      <c r="P282" s="180"/>
      <c r="Q282" s="180"/>
      <c r="R282" s="180"/>
      <c r="S282" s="180"/>
    </row>
    <row r="283" spans="2:19">
      <c r="E283" s="180"/>
      <c r="F283" s="180"/>
      <c r="G283" s="180"/>
      <c r="H283" s="180"/>
      <c r="I283" s="180"/>
      <c r="J283" s="180"/>
      <c r="K283" s="180"/>
      <c r="L283" s="180"/>
      <c r="M283" s="180"/>
      <c r="N283" s="180"/>
      <c r="O283" s="180"/>
      <c r="P283" s="180"/>
      <c r="Q283" s="180"/>
      <c r="R283" s="180"/>
      <c r="S283" s="180"/>
    </row>
    <row r="284" spans="2:19">
      <c r="B284" s="192" t="s">
        <v>450</v>
      </c>
      <c r="C284" s="193"/>
      <c r="D284" s="386" t="s">
        <v>802</v>
      </c>
      <c r="E284" s="180"/>
      <c r="F284" s="180"/>
      <c r="G284" s="180"/>
      <c r="H284" s="180"/>
      <c r="I284" s="180"/>
      <c r="J284" s="180"/>
      <c r="K284" s="180"/>
      <c r="L284" s="180"/>
      <c r="M284" s="180"/>
      <c r="N284" s="180"/>
      <c r="O284" s="180"/>
      <c r="P284" s="180"/>
      <c r="Q284" s="180"/>
      <c r="R284" s="180"/>
      <c r="S284" s="180"/>
    </row>
    <row r="285" spans="2:19">
      <c r="B285" s="192"/>
      <c r="C285" s="193"/>
      <c r="D285" s="386"/>
      <c r="E285" s="180"/>
      <c r="F285" s="180"/>
      <c r="G285" s="180"/>
      <c r="H285" s="180"/>
      <c r="I285" s="180"/>
      <c r="J285" s="180"/>
      <c r="K285" s="180"/>
      <c r="L285" s="180"/>
      <c r="M285" s="180"/>
      <c r="N285" s="180"/>
      <c r="O285" s="180"/>
      <c r="P285" s="180"/>
      <c r="Q285" s="180"/>
      <c r="R285" s="180"/>
      <c r="S285" s="180"/>
    </row>
    <row r="286" spans="2:19">
      <c r="B286" s="192" t="s">
        <v>451</v>
      </c>
      <c r="C286" s="193"/>
      <c r="D286" s="204" t="s">
        <v>32</v>
      </c>
      <c r="E286" s="180"/>
      <c r="F286" s="180"/>
      <c r="G286" s="180"/>
      <c r="H286" s="180"/>
      <c r="I286" s="180"/>
      <c r="J286" s="180"/>
      <c r="K286" s="180"/>
      <c r="L286" s="180"/>
      <c r="M286" s="180"/>
      <c r="N286" s="204"/>
      <c r="O286" s="204"/>
      <c r="P286" s="180"/>
      <c r="Q286" s="180"/>
      <c r="R286" s="180"/>
      <c r="S286" s="180"/>
    </row>
    <row r="287" spans="2:19">
      <c r="B287" s="192"/>
      <c r="C287" s="193"/>
      <c r="D287" s="204" t="s">
        <v>289</v>
      </c>
      <c r="E287" s="180"/>
      <c r="F287" s="180"/>
      <c r="G287" s="180"/>
      <c r="H287" s="180"/>
      <c r="I287" s="180"/>
      <c r="J287" s="180"/>
      <c r="K287" s="180"/>
      <c r="L287" s="180"/>
      <c r="M287" s="180"/>
      <c r="N287" s="204"/>
      <c r="O287" s="204"/>
      <c r="P287" s="180"/>
      <c r="Q287" s="180"/>
      <c r="R287" s="180"/>
      <c r="S287" s="180"/>
    </row>
    <row r="288" spans="2:19">
      <c r="B288" s="192"/>
      <c r="C288" s="193"/>
      <c r="D288" s="204" t="s">
        <v>295</v>
      </c>
      <c r="E288" s="180"/>
      <c r="F288" s="180"/>
      <c r="G288" s="180"/>
      <c r="H288" s="180"/>
      <c r="I288" s="180"/>
      <c r="J288" s="180"/>
      <c r="K288" s="180"/>
      <c r="L288" s="318"/>
      <c r="M288" s="180"/>
      <c r="N288" s="204"/>
      <c r="O288" s="204"/>
      <c r="P288" s="180"/>
      <c r="Q288" s="180"/>
      <c r="R288" s="180"/>
      <c r="S288" s="180"/>
    </row>
    <row r="289" spans="2:19">
      <c r="B289" s="192"/>
      <c r="C289" s="193"/>
      <c r="D289" s="204" t="s">
        <v>164</v>
      </c>
      <c r="E289" s="180"/>
      <c r="F289" s="180"/>
      <c r="G289" s="180"/>
      <c r="H289" s="180"/>
      <c r="I289" s="180"/>
      <c r="J289" s="180"/>
      <c r="K289" s="180"/>
      <c r="L289" s="318"/>
      <c r="M289" s="180"/>
      <c r="N289" s="204"/>
      <c r="O289" s="180"/>
      <c r="P289" s="180"/>
      <c r="Q289" s="180"/>
      <c r="R289" s="180"/>
      <c r="S289" s="180"/>
    </row>
    <row r="290" spans="2:19">
      <c r="B290" s="192"/>
      <c r="C290" s="193"/>
      <c r="D290" s="204" t="s">
        <v>602</v>
      </c>
      <c r="E290" s="180"/>
      <c r="F290" s="180"/>
      <c r="G290" s="180"/>
      <c r="H290" s="180"/>
      <c r="I290" s="180"/>
      <c r="J290" s="180"/>
      <c r="K290" s="180"/>
      <c r="L290" s="318"/>
      <c r="M290" s="180"/>
      <c r="N290" s="204"/>
      <c r="O290" s="180"/>
      <c r="P290" s="180"/>
      <c r="Q290" s="180"/>
      <c r="R290" s="180"/>
      <c r="S290" s="180"/>
    </row>
    <row r="291" spans="2:19">
      <c r="B291" s="192"/>
      <c r="C291" s="193"/>
      <c r="D291" s="204" t="s">
        <v>603</v>
      </c>
      <c r="E291" s="180"/>
      <c r="F291" s="180"/>
      <c r="G291" s="180"/>
      <c r="H291" s="180"/>
      <c r="I291" s="180"/>
      <c r="J291" s="180"/>
      <c r="K291" s="180"/>
      <c r="L291" s="318"/>
      <c r="M291" s="180"/>
      <c r="N291" s="204"/>
      <c r="O291" s="180"/>
      <c r="P291" s="180"/>
      <c r="Q291" s="180"/>
      <c r="R291" s="180"/>
      <c r="S291" s="180"/>
    </row>
    <row r="292" spans="2:19">
      <c r="B292" s="192"/>
      <c r="C292" s="193"/>
      <c r="D292" s="204" t="s">
        <v>604</v>
      </c>
      <c r="E292" s="180"/>
      <c r="F292" s="180"/>
      <c r="G292" s="180"/>
      <c r="H292" s="180"/>
      <c r="I292" s="180"/>
      <c r="J292" s="180"/>
      <c r="K292" s="180"/>
      <c r="L292" s="318"/>
      <c r="M292" s="180"/>
      <c r="N292" s="204"/>
      <c r="O292" s="180"/>
      <c r="P292" s="180"/>
      <c r="Q292" s="180"/>
      <c r="R292" s="180"/>
      <c r="S292" s="180"/>
    </row>
    <row r="293" spans="2:19">
      <c r="B293" s="192"/>
      <c r="C293" s="193"/>
      <c r="D293" s="204" t="s">
        <v>110</v>
      </c>
      <c r="E293" s="180"/>
      <c r="F293" s="180"/>
      <c r="G293" s="180"/>
      <c r="H293" s="180"/>
      <c r="I293" s="180"/>
      <c r="J293" s="180"/>
      <c r="K293" s="180"/>
      <c r="L293" s="318"/>
      <c r="M293" s="180"/>
      <c r="N293" s="204"/>
      <c r="O293" s="180"/>
      <c r="P293" s="180"/>
      <c r="Q293" s="180"/>
      <c r="R293" s="180"/>
      <c r="S293" s="180"/>
    </row>
    <row r="294" spans="2:19">
      <c r="B294" s="192"/>
      <c r="C294" s="193"/>
      <c r="D294" s="204"/>
      <c r="E294" s="180"/>
      <c r="F294" s="180"/>
      <c r="G294" s="180"/>
      <c r="H294" s="180"/>
      <c r="I294" s="180"/>
      <c r="J294" s="180"/>
      <c r="K294" s="180"/>
      <c r="L294" s="318"/>
      <c r="M294" s="180"/>
      <c r="N294" s="204"/>
      <c r="O294" s="180"/>
      <c r="P294" s="180"/>
      <c r="Q294" s="180"/>
      <c r="R294" s="180"/>
      <c r="S294" s="180"/>
    </row>
    <row r="295" spans="2:19">
      <c r="B295" s="192" t="s">
        <v>452</v>
      </c>
      <c r="C295" s="204"/>
      <c r="D295" s="204"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393"/>
      <c r="F295" s="393"/>
      <c r="G295" s="393"/>
      <c r="H295" s="393"/>
      <c r="I295" s="393"/>
      <c r="J295" s="393"/>
      <c r="K295" s="393"/>
      <c r="L295" s="394"/>
      <c r="M295" s="180"/>
      <c r="N295" s="180"/>
      <c r="O295" s="180"/>
      <c r="P295" s="180"/>
      <c r="Q295" s="180"/>
      <c r="R295" s="180"/>
      <c r="S295" s="180"/>
    </row>
    <row r="296" spans="2:19">
      <c r="B296" s="192"/>
      <c r="C296" s="204"/>
      <c r="D296" s="395"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2"/>
      <c r="F296" s="242"/>
      <c r="G296" s="242"/>
      <c r="H296" s="242"/>
      <c r="I296" s="242"/>
      <c r="J296" s="242"/>
      <c r="K296" s="242"/>
      <c r="L296" s="394"/>
      <c r="M296" s="180"/>
      <c r="N296" s="180"/>
      <c r="O296" s="180"/>
      <c r="P296" s="180"/>
      <c r="Q296" s="180"/>
      <c r="R296" s="180"/>
      <c r="S296" s="180"/>
    </row>
    <row r="297" spans="2:19">
      <c r="B297" s="192"/>
      <c r="C297" s="204"/>
      <c r="D297" s="396" t="str">
        <f>+"2)  Costs of Transmission of Electricity by Others, as described in Note H."</f>
        <v>2)  Costs of Transmission of Electricity by Others, as described in Note H.</v>
      </c>
      <c r="E297" s="393"/>
      <c r="F297" s="393"/>
      <c r="G297" s="393"/>
      <c r="H297" s="393"/>
      <c r="I297" s="393"/>
      <c r="J297" s="393"/>
      <c r="K297" s="393"/>
      <c r="L297" s="394"/>
      <c r="M297" s="180"/>
      <c r="N297" s="180"/>
      <c r="O297" s="180"/>
      <c r="P297" s="180"/>
      <c r="Q297" s="180"/>
      <c r="R297" s="180"/>
      <c r="S297" s="180"/>
    </row>
    <row r="298" spans="2:19">
      <c r="B298" s="192"/>
      <c r="C298" s="204"/>
      <c r="D298" s="395" t="str">
        <f>+"3)  The impact of state regulatory deferrals and amortizations, as shown on line  "&amp;B133&amp;""</f>
        <v>3)  The impact of state regulatory deferrals and amortizations, as shown on line  65</v>
      </c>
      <c r="E298" s="242"/>
      <c r="F298" s="242"/>
      <c r="G298" s="242"/>
      <c r="H298" s="242"/>
      <c r="I298" s="242"/>
      <c r="J298" s="242"/>
      <c r="K298" s="242"/>
      <c r="L298" s="394"/>
      <c r="M298" s="180"/>
      <c r="N298" s="180"/>
      <c r="O298" s="180"/>
      <c r="P298" s="180"/>
      <c r="Q298" s="180"/>
      <c r="R298" s="180"/>
      <c r="S298" s="180"/>
    </row>
    <row r="299" spans="2:19">
      <c r="B299" s="192"/>
      <c r="C299" s="242"/>
      <c r="D299" s="396" t="str">
        <f>"4) All A&amp;G Expenses, as shown on line "&amp;B147&amp;"."</f>
        <v>4) All A&amp;G Expenses, as shown on line 78.</v>
      </c>
      <c r="E299" s="393"/>
      <c r="F299" s="393"/>
      <c r="G299" s="393"/>
      <c r="H299" s="393"/>
      <c r="I299" s="393"/>
      <c r="J299" s="393"/>
      <c r="K299" s="393"/>
      <c r="L299" s="394"/>
      <c r="M299" s="180"/>
      <c r="N299" s="180"/>
      <c r="O299" s="180"/>
      <c r="P299" s="180"/>
      <c r="Q299" s="180"/>
      <c r="R299" s="180"/>
      <c r="S299" s="180"/>
    </row>
    <row r="300" spans="2:19">
      <c r="B300" s="192"/>
      <c r="C300" s="193"/>
      <c r="D300" s="395"/>
      <c r="E300" s="397"/>
      <c r="F300" s="397"/>
      <c r="G300" s="397"/>
      <c r="H300" s="397"/>
      <c r="I300" s="397"/>
      <c r="J300" s="397"/>
      <c r="K300" s="397"/>
      <c r="L300" s="180"/>
      <c r="M300" s="180"/>
      <c r="N300" s="180"/>
      <c r="O300" s="180"/>
      <c r="P300" s="180"/>
      <c r="Q300" s="180"/>
      <c r="R300" s="180"/>
      <c r="S300" s="180"/>
    </row>
    <row r="301" spans="2:19">
      <c r="B301" s="390" t="s">
        <v>453</v>
      </c>
      <c r="C301" s="268"/>
      <c r="D301" s="398"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398"/>
      <c r="F301" s="398"/>
      <c r="G301" s="398"/>
      <c r="H301" s="398"/>
      <c r="I301" s="398"/>
      <c r="J301" s="398"/>
      <c r="K301" s="398"/>
      <c r="L301" s="160"/>
      <c r="M301" s="180"/>
      <c r="N301" s="180"/>
      <c r="O301" s="180"/>
      <c r="P301" s="180"/>
      <c r="Q301" s="180"/>
      <c r="R301" s="180"/>
      <c r="S301" s="180"/>
    </row>
    <row r="302" spans="2:19">
      <c r="B302" s="391"/>
      <c r="C302" s="160"/>
      <c r="D302" s="398" t="s">
        <v>509</v>
      </c>
      <c r="E302" s="398"/>
      <c r="F302" s="398"/>
      <c r="G302" s="398"/>
      <c r="H302" s="398"/>
      <c r="I302" s="398"/>
      <c r="J302" s="398"/>
      <c r="K302" s="398"/>
      <c r="L302" s="160"/>
      <c r="M302" s="180"/>
      <c r="N302" s="180"/>
      <c r="O302" s="180"/>
      <c r="P302" s="180"/>
      <c r="Q302" s="180"/>
      <c r="R302" s="180"/>
      <c r="S302" s="180"/>
    </row>
    <row r="303" spans="2:19">
      <c r="B303" s="391"/>
      <c r="C303" s="160"/>
      <c r="D303" s="398" t="str">
        <f>"expense is included on line "&amp;B185&amp;"."</f>
        <v>expense is included on line 110.</v>
      </c>
      <c r="E303" s="398"/>
      <c r="F303" s="398"/>
      <c r="G303" s="398"/>
      <c r="H303" s="398"/>
      <c r="I303" s="398"/>
      <c r="J303" s="398"/>
      <c r="K303" s="398"/>
      <c r="L303" s="160"/>
      <c r="M303" s="180"/>
      <c r="N303" s="180"/>
      <c r="O303" s="180"/>
      <c r="P303" s="180"/>
      <c r="Q303" s="180"/>
      <c r="R303" s="180"/>
      <c r="S303" s="180"/>
    </row>
    <row r="304" spans="2:19" ht="21" customHeight="1">
      <c r="B304" s="391"/>
      <c r="C304" s="160"/>
      <c r="D304" s="398"/>
      <c r="E304" s="398"/>
      <c r="F304" s="398"/>
      <c r="G304" s="398"/>
      <c r="H304" s="398"/>
      <c r="I304" s="398"/>
      <c r="J304" s="398"/>
      <c r="K304" s="398"/>
      <c r="L304" s="160"/>
      <c r="M304" s="160"/>
      <c r="N304" s="180"/>
      <c r="O304" s="180"/>
      <c r="P304" s="180"/>
      <c r="Q304" s="180"/>
      <c r="R304" s="180"/>
      <c r="S304" s="180"/>
    </row>
    <row r="305" spans="2:19" ht="14.25" customHeight="1">
      <c r="B305" s="390" t="s">
        <v>454</v>
      </c>
      <c r="C305" s="160"/>
      <c r="D305" s="1475"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75"/>
      <c r="F305" s="1475"/>
      <c r="G305" s="1475"/>
      <c r="H305" s="1475"/>
      <c r="I305" s="1475"/>
      <c r="J305" s="1475"/>
      <c r="K305" s="1475"/>
      <c r="L305" s="160"/>
      <c r="M305" s="160"/>
      <c r="N305" s="180"/>
      <c r="O305" s="180"/>
      <c r="P305" s="180"/>
      <c r="Q305" s="180"/>
      <c r="R305" s="180"/>
      <c r="S305" s="180"/>
    </row>
    <row r="306" spans="2:19" ht="45" customHeight="1">
      <c r="B306" s="390"/>
      <c r="C306" s="160"/>
      <c r="D306" s="1475"/>
      <c r="E306" s="1475"/>
      <c r="F306" s="1475"/>
      <c r="G306" s="1475"/>
      <c r="H306" s="1475"/>
      <c r="I306" s="1475"/>
      <c r="J306" s="1475"/>
      <c r="K306" s="1475"/>
      <c r="L306" s="160"/>
      <c r="M306" s="160"/>
      <c r="N306" s="180"/>
      <c r="O306" s="180"/>
      <c r="P306" s="180"/>
      <c r="Q306" s="180"/>
      <c r="R306" s="180"/>
      <c r="S306" s="180"/>
    </row>
    <row r="307" spans="2:19" ht="5.25" hidden="1" customHeight="1">
      <c r="B307" s="390"/>
      <c r="C307" s="160"/>
      <c r="D307" s="1475"/>
      <c r="E307" s="1475"/>
      <c r="F307" s="1475"/>
      <c r="G307" s="1475"/>
      <c r="H307" s="1475"/>
      <c r="I307" s="1475"/>
      <c r="J307" s="1475"/>
      <c r="K307" s="1475"/>
      <c r="L307" s="160"/>
      <c r="M307" s="160"/>
      <c r="N307" s="180"/>
      <c r="O307" s="180"/>
      <c r="P307" s="180"/>
      <c r="Q307" s="180"/>
      <c r="R307" s="180"/>
      <c r="S307" s="180"/>
    </row>
    <row r="308" spans="2:19">
      <c r="B308" s="390"/>
      <c r="C308" s="160"/>
      <c r="D308" s="395"/>
      <c r="E308" s="398"/>
      <c r="F308" s="398"/>
      <c r="G308" s="398"/>
      <c r="H308" s="398"/>
      <c r="I308" s="398"/>
      <c r="J308" s="398"/>
      <c r="K308" s="398"/>
      <c r="L308" s="160"/>
      <c r="M308" s="160"/>
      <c r="N308" s="180"/>
      <c r="O308" s="180"/>
      <c r="P308" s="180"/>
      <c r="Q308" s="180"/>
      <c r="R308" s="180"/>
      <c r="S308" s="180"/>
    </row>
    <row r="309" spans="2:19">
      <c r="B309" s="390" t="s">
        <v>455</v>
      </c>
      <c r="C309" s="160"/>
      <c r="D309" s="1478"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78"/>
      <c r="F309" s="1478"/>
      <c r="G309" s="1478"/>
      <c r="H309" s="1478"/>
      <c r="I309" s="1478"/>
      <c r="J309" s="1478"/>
      <c r="K309" s="1478"/>
      <c r="L309" s="160"/>
      <c r="M309" s="160"/>
      <c r="N309" s="180"/>
      <c r="O309" s="180"/>
      <c r="P309" s="180"/>
      <c r="Q309" s="180"/>
      <c r="R309" s="180"/>
      <c r="S309" s="180"/>
    </row>
    <row r="310" spans="2:19">
      <c r="B310" s="390"/>
      <c r="C310" s="160"/>
      <c r="D310" s="1478"/>
      <c r="E310" s="1478"/>
      <c r="F310" s="1478"/>
      <c r="G310" s="1478"/>
      <c r="H310" s="1478"/>
      <c r="I310" s="1478"/>
      <c r="J310" s="1478"/>
      <c r="K310" s="1478"/>
      <c r="L310" s="160"/>
      <c r="M310" s="160"/>
      <c r="N310" s="180"/>
      <c r="O310" s="180"/>
      <c r="P310" s="180"/>
      <c r="Q310" s="180"/>
      <c r="R310" s="180"/>
      <c r="S310" s="180"/>
    </row>
    <row r="311" spans="2:19">
      <c r="B311" s="390"/>
      <c r="C311" s="160"/>
      <c r="D311" s="1479"/>
      <c r="E311" s="1479"/>
      <c r="F311" s="1479"/>
      <c r="G311" s="1479"/>
      <c r="H311" s="1479"/>
      <c r="I311" s="1479"/>
      <c r="J311" s="1479"/>
      <c r="K311" s="1479"/>
      <c r="L311" s="160"/>
      <c r="M311" s="160"/>
      <c r="N311" s="180"/>
      <c r="O311" s="180"/>
      <c r="P311" s="180"/>
      <c r="Q311" s="180"/>
      <c r="R311" s="180"/>
      <c r="S311" s="180"/>
    </row>
    <row r="312" spans="2:19">
      <c r="B312" s="390"/>
      <c r="C312" s="160"/>
      <c r="D312" s="1480"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80"/>
      <c r="F312" s="1480"/>
      <c r="G312" s="1480"/>
      <c r="H312" s="1480"/>
      <c r="I312" s="1480"/>
      <c r="J312" s="1480"/>
      <c r="K312" s="399"/>
      <c r="L312" s="160"/>
      <c r="M312" s="160"/>
      <c r="N312" s="180"/>
      <c r="O312" s="180"/>
      <c r="P312" s="180"/>
      <c r="Q312" s="180"/>
      <c r="R312" s="180"/>
      <c r="S312" s="180"/>
    </row>
    <row r="313" spans="2:19">
      <c r="B313" s="390"/>
      <c r="C313" s="160"/>
      <c r="D313" s="1480"/>
      <c r="E313" s="1480"/>
      <c r="F313" s="1480"/>
      <c r="G313" s="1480"/>
      <c r="H313" s="1480"/>
      <c r="I313" s="1480"/>
      <c r="J313" s="1480"/>
      <c r="K313" s="399"/>
      <c r="L313" s="160"/>
      <c r="M313" s="160"/>
      <c r="N313" s="180"/>
      <c r="O313" s="180"/>
      <c r="P313" s="180"/>
      <c r="Q313" s="180"/>
      <c r="R313" s="180"/>
      <c r="S313" s="180"/>
    </row>
    <row r="314" spans="2:19" ht="22.5" customHeight="1">
      <c r="B314" s="390"/>
      <c r="C314" s="160"/>
      <c r="D314" s="398" t="str">
        <f>"The company records referenced on line"&amp;B150&amp;" is the "&amp;F9&amp;" general ledger."</f>
        <v>The company records referenced on line80 is the AEP Indiana Michigan Transmission Company general ledger.</v>
      </c>
      <c r="E314" s="400"/>
      <c r="F314" s="400"/>
      <c r="G314" s="400"/>
      <c r="H314" s="400"/>
      <c r="I314" s="400"/>
      <c r="J314" s="400"/>
      <c r="K314" s="399"/>
      <c r="L314" s="160"/>
      <c r="M314" s="160"/>
      <c r="N314" s="180"/>
      <c r="O314" s="180"/>
      <c r="P314" s="180"/>
      <c r="Q314" s="180"/>
      <c r="R314" s="180"/>
      <c r="S314" s="180"/>
    </row>
    <row r="315" spans="2:19">
      <c r="B315" s="390"/>
      <c r="C315" s="160"/>
      <c r="D315" s="400"/>
      <c r="E315" s="400"/>
      <c r="F315" s="400"/>
      <c r="G315" s="400"/>
      <c r="H315" s="400"/>
      <c r="I315" s="400"/>
      <c r="J315" s="400"/>
      <c r="K315" s="400"/>
      <c r="L315" s="160"/>
      <c r="M315" s="160"/>
      <c r="N315" s="180"/>
      <c r="O315" s="180"/>
      <c r="P315" s="180"/>
      <c r="Q315" s="180"/>
      <c r="R315" s="180"/>
      <c r="S315" s="180"/>
    </row>
    <row r="316" spans="2:19">
      <c r="B316" s="390" t="s">
        <v>456</v>
      </c>
      <c r="C316" s="160"/>
      <c r="D316" s="398" t="s">
        <v>605</v>
      </c>
      <c r="E316" s="208"/>
      <c r="F316" s="208"/>
      <c r="G316" s="208"/>
      <c r="H316" s="208"/>
      <c r="I316" s="208"/>
      <c r="J316" s="208"/>
      <c r="K316" s="208"/>
      <c r="L316" s="160"/>
      <c r="M316" s="160"/>
      <c r="N316" s="180"/>
      <c r="O316" s="180"/>
      <c r="P316" s="180"/>
      <c r="Q316" s="180"/>
      <c r="R316" s="180"/>
      <c r="S316" s="180"/>
    </row>
    <row r="317" spans="2:19">
      <c r="B317" s="390"/>
      <c r="C317" s="160"/>
      <c r="D317" s="401"/>
      <c r="E317" s="401"/>
      <c r="F317" s="401"/>
      <c r="G317" s="401"/>
      <c r="H317" s="401"/>
      <c r="I317" s="401"/>
      <c r="J317" s="401"/>
      <c r="K317" s="401"/>
      <c r="L317" s="160"/>
      <c r="M317" s="160"/>
      <c r="N317" s="180"/>
      <c r="O317" s="180"/>
      <c r="P317" s="180"/>
      <c r="Q317" s="180"/>
      <c r="R317" s="180"/>
      <c r="S317" s="180"/>
    </row>
    <row r="318" spans="2:19" ht="15" customHeight="1">
      <c r="B318" s="390" t="s">
        <v>457</v>
      </c>
      <c r="C318" s="160"/>
      <c r="D318" s="1482" t="s">
        <v>9</v>
      </c>
      <c r="E318" s="1483"/>
      <c r="F318" s="1483"/>
      <c r="G318" s="1483"/>
      <c r="H318" s="1483"/>
      <c r="I318" s="1483"/>
      <c r="J318" s="1483"/>
      <c r="K318" s="398"/>
      <c r="L318" s="160"/>
      <c r="M318" s="160"/>
      <c r="N318" s="180"/>
      <c r="O318" s="180"/>
      <c r="P318" s="180"/>
      <c r="Q318" s="180"/>
      <c r="R318" s="180"/>
      <c r="S318" s="180"/>
    </row>
    <row r="319" spans="2:19">
      <c r="B319" s="390"/>
      <c r="C319" s="160"/>
      <c r="D319" s="1484"/>
      <c r="E319" s="1484"/>
      <c r="F319" s="1484"/>
      <c r="G319" s="1484"/>
      <c r="H319" s="1484"/>
      <c r="I319" s="1484"/>
      <c r="J319" s="1484"/>
      <c r="K319" s="401"/>
      <c r="L319" s="160"/>
      <c r="M319" s="160"/>
      <c r="N319" s="180"/>
      <c r="O319" s="180"/>
      <c r="P319" s="180"/>
      <c r="Q319" s="180"/>
      <c r="R319" s="180"/>
      <c r="S319" s="180"/>
    </row>
    <row r="320" spans="2:19">
      <c r="B320" s="390"/>
      <c r="C320" s="160"/>
      <c r="D320" s="1483"/>
      <c r="E320" s="1483"/>
      <c r="F320" s="1483"/>
      <c r="G320" s="1483"/>
      <c r="H320" s="1483"/>
      <c r="I320" s="1483"/>
      <c r="J320" s="1483"/>
      <c r="K320" s="398"/>
      <c r="L320" s="160"/>
      <c r="M320" s="160"/>
      <c r="N320" s="180"/>
      <c r="O320" s="180"/>
      <c r="P320" s="180"/>
      <c r="Q320" s="180"/>
      <c r="R320" s="180"/>
      <c r="S320" s="180"/>
    </row>
    <row r="321" spans="2:19">
      <c r="B321" s="390"/>
      <c r="C321" s="160"/>
      <c r="D321" s="160"/>
      <c r="E321" s="160"/>
      <c r="F321" s="160"/>
      <c r="G321" s="160"/>
      <c r="H321" s="160"/>
      <c r="I321" s="160"/>
      <c r="J321" s="160"/>
      <c r="K321" s="160"/>
      <c r="L321" s="160"/>
      <c r="M321" s="160"/>
      <c r="N321" s="180"/>
      <c r="O321" s="180"/>
      <c r="P321" s="180"/>
      <c r="Q321" s="180"/>
      <c r="R321" s="180"/>
      <c r="S321" s="180"/>
    </row>
    <row r="322" spans="2:19" ht="15" customHeight="1">
      <c r="B322" s="192" t="s">
        <v>458</v>
      </c>
      <c r="C322" s="160"/>
      <c r="D322" s="1476" t="s">
        <v>800</v>
      </c>
      <c r="E322" s="1477"/>
      <c r="F322" s="1477"/>
      <c r="G322" s="1477"/>
      <c r="H322" s="1477"/>
      <c r="I322" s="1477"/>
      <c r="J322" s="1477"/>
      <c r="K322" s="1477"/>
      <c r="L322" s="160"/>
      <c r="M322" s="160"/>
      <c r="N322" s="180"/>
      <c r="O322" s="180"/>
      <c r="P322" s="180"/>
      <c r="Q322" s="180"/>
      <c r="R322" s="180"/>
      <c r="S322" s="180"/>
    </row>
    <row r="323" spans="2:19">
      <c r="B323" s="390"/>
      <c r="C323" s="160"/>
      <c r="D323" s="160"/>
      <c r="E323" s="160"/>
      <c r="F323" s="160"/>
      <c r="G323" s="160"/>
      <c r="H323" s="160"/>
      <c r="I323" s="160"/>
      <c r="J323" s="160"/>
      <c r="K323" s="160"/>
      <c r="L323" s="160"/>
      <c r="M323" s="160"/>
      <c r="N323" s="180"/>
      <c r="O323" s="180"/>
      <c r="P323" s="180"/>
      <c r="Q323" s="180"/>
      <c r="R323" s="180"/>
      <c r="S323" s="180"/>
    </row>
    <row r="324" spans="2:19">
      <c r="B324" s="192" t="s">
        <v>459</v>
      </c>
      <c r="C324" s="193"/>
      <c r="D324" s="204" t="s">
        <v>160</v>
      </c>
      <c r="E324" s="180"/>
      <c r="F324" s="180"/>
      <c r="G324" s="180"/>
      <c r="H324" s="180"/>
      <c r="I324" s="180"/>
      <c r="J324" s="180"/>
      <c r="K324" s="180"/>
      <c r="L324" s="180"/>
      <c r="M324" s="160"/>
      <c r="N324" s="180"/>
      <c r="O324" s="180"/>
      <c r="P324" s="180"/>
      <c r="Q324" s="180"/>
      <c r="R324" s="180"/>
      <c r="S324" s="180"/>
    </row>
    <row r="325" spans="2:19">
      <c r="B325" s="192"/>
      <c r="C325" s="193"/>
      <c r="D325" s="204" t="s">
        <v>279</v>
      </c>
      <c r="E325" s="180"/>
      <c r="F325" s="180"/>
      <c r="G325" s="180"/>
      <c r="H325" s="180"/>
      <c r="I325" s="180"/>
      <c r="J325" s="180"/>
      <c r="K325" s="180"/>
      <c r="L325" s="180"/>
      <c r="M325" s="160"/>
      <c r="N325" s="180"/>
      <c r="O325" s="180"/>
      <c r="P325" s="180"/>
      <c r="Q325" s="180"/>
      <c r="R325" s="180"/>
      <c r="S325" s="180"/>
    </row>
    <row r="326" spans="2:19">
      <c r="B326" s="192"/>
      <c r="C326" s="193"/>
      <c r="D326" s="204" t="s">
        <v>280</v>
      </c>
      <c r="E326" s="180"/>
      <c r="F326" s="180"/>
      <c r="G326" s="180"/>
      <c r="H326" s="180"/>
      <c r="I326" s="180"/>
      <c r="J326" s="180"/>
      <c r="K326" s="180"/>
      <c r="L326" s="180"/>
      <c r="M326" s="160"/>
      <c r="N326" s="180"/>
      <c r="O326" s="180"/>
      <c r="P326" s="180"/>
      <c r="Q326" s="180"/>
      <c r="R326" s="180"/>
      <c r="S326" s="180"/>
    </row>
    <row r="327" spans="2:19">
      <c r="B327" s="192"/>
      <c r="C327" s="193"/>
      <c r="D327" s="160" t="s">
        <v>281</v>
      </c>
      <c r="E327" s="180"/>
      <c r="F327" s="180"/>
      <c r="G327" s="180"/>
      <c r="H327" s="180"/>
      <c r="I327" s="180"/>
      <c r="J327" s="180"/>
      <c r="K327" s="180"/>
      <c r="L327" s="180"/>
      <c r="M327" s="160"/>
      <c r="N327" s="180"/>
      <c r="O327" s="180"/>
      <c r="P327" s="180"/>
      <c r="Q327" s="180"/>
      <c r="R327" s="180"/>
      <c r="S327" s="180"/>
    </row>
    <row r="328" spans="2:19">
      <c r="B328" s="192"/>
      <c r="C328" s="193"/>
      <c r="D328" s="160"/>
      <c r="E328" s="180"/>
      <c r="F328" s="180"/>
      <c r="G328" s="180"/>
      <c r="H328" s="180"/>
      <c r="I328" s="180"/>
      <c r="J328" s="180"/>
      <c r="K328" s="180"/>
      <c r="L328" s="180"/>
      <c r="M328" s="160"/>
      <c r="N328" s="180"/>
      <c r="O328" s="180"/>
      <c r="P328" s="180"/>
      <c r="Q328" s="180"/>
      <c r="R328" s="180"/>
      <c r="S328" s="180"/>
    </row>
    <row r="329" spans="2:19" ht="25.5" customHeight="1">
      <c r="B329" s="192" t="s">
        <v>460</v>
      </c>
      <c r="C329" s="193"/>
      <c r="D329" s="1481" t="s">
        <v>801</v>
      </c>
      <c r="E329" s="1481"/>
      <c r="F329" s="1481"/>
      <c r="G329" s="1481"/>
      <c r="H329" s="1481"/>
      <c r="I329" s="1481"/>
      <c r="J329" s="1481"/>
      <c r="K329" s="1481"/>
      <c r="L329" s="1481"/>
      <c r="M329" s="160"/>
      <c r="N329" s="180"/>
      <c r="O329" s="180"/>
      <c r="P329" s="180"/>
      <c r="Q329" s="180"/>
      <c r="R329" s="180"/>
      <c r="S329" s="180"/>
    </row>
    <row r="330" spans="2:19">
      <c r="B330" s="192"/>
      <c r="C330" s="193"/>
      <c r="D330" s="1481"/>
      <c r="E330" s="1481"/>
      <c r="F330" s="1481"/>
      <c r="G330" s="1481"/>
      <c r="H330" s="1481"/>
      <c r="I330" s="1481"/>
      <c r="J330" s="1481"/>
      <c r="K330" s="1481"/>
      <c r="L330" s="1481"/>
      <c r="M330" s="160"/>
      <c r="N330" s="180"/>
      <c r="O330" s="180"/>
      <c r="P330" s="180"/>
      <c r="Q330" s="180"/>
      <c r="R330" s="180"/>
      <c r="S330" s="180"/>
    </row>
    <row r="331" spans="2:19">
      <c r="B331" s="192"/>
      <c r="C331" s="193"/>
      <c r="D331" s="1481"/>
      <c r="E331" s="1481"/>
      <c r="F331" s="1481"/>
      <c r="G331" s="1481"/>
      <c r="H331" s="1481"/>
      <c r="I331" s="1481"/>
      <c r="J331" s="1481"/>
      <c r="K331" s="1481"/>
      <c r="L331" s="1481"/>
      <c r="M331" s="160"/>
      <c r="N331" s="180"/>
      <c r="O331" s="180"/>
      <c r="P331" s="180"/>
      <c r="Q331" s="180"/>
      <c r="R331" s="180"/>
      <c r="S331" s="180"/>
    </row>
    <row r="332" spans="2:19">
      <c r="B332" s="192"/>
      <c r="C332" s="193"/>
      <c r="D332" s="402"/>
      <c r="E332" s="180"/>
      <c r="F332" s="180"/>
      <c r="G332" s="180"/>
      <c r="H332" s="180"/>
      <c r="I332" s="180"/>
      <c r="J332" s="180"/>
      <c r="K332" s="180"/>
      <c r="L332" s="180"/>
      <c r="M332" s="160"/>
      <c r="N332" s="180"/>
      <c r="O332" s="180"/>
      <c r="P332" s="180"/>
      <c r="Q332" s="180"/>
      <c r="R332" s="180"/>
      <c r="S332" s="180"/>
    </row>
    <row r="333" spans="2:19">
      <c r="B333" s="267" t="s">
        <v>33</v>
      </c>
      <c r="C333" s="193"/>
      <c r="D333" s="204" t="s">
        <v>596</v>
      </c>
      <c r="E333" s="164"/>
      <c r="F333" s="164"/>
      <c r="G333" s="164"/>
      <c r="H333" s="164"/>
      <c r="I333" s="164"/>
      <c r="J333" s="164"/>
      <c r="K333" s="160"/>
      <c r="L333" s="160"/>
      <c r="M333" s="160"/>
      <c r="N333" s="180"/>
      <c r="O333" s="180"/>
      <c r="P333" s="180"/>
      <c r="Q333" s="180"/>
      <c r="R333" s="180"/>
      <c r="S333" s="180"/>
    </row>
    <row r="334" spans="2:19">
      <c r="B334" s="267"/>
      <c r="C334" s="193"/>
      <c r="D334" s="164"/>
      <c r="E334" s="164"/>
      <c r="F334" s="164"/>
      <c r="G334" s="164"/>
      <c r="H334" s="164"/>
      <c r="I334" s="164"/>
      <c r="J334" s="164"/>
      <c r="K334" s="160"/>
      <c r="L334" s="160"/>
      <c r="M334" s="160"/>
      <c r="N334" s="180"/>
      <c r="O334" s="180"/>
      <c r="P334" s="180"/>
      <c r="Q334" s="180"/>
      <c r="R334" s="180"/>
      <c r="S334" s="180"/>
    </row>
    <row r="335" spans="2:19">
      <c r="B335" s="192" t="s">
        <v>109</v>
      </c>
      <c r="C335" s="193"/>
      <c r="D335" s="204" t="s">
        <v>148</v>
      </c>
      <c r="E335" s="160"/>
      <c r="F335" s="160"/>
      <c r="G335" s="160"/>
      <c r="H335" s="160"/>
      <c r="I335" s="160"/>
      <c r="J335" s="160"/>
      <c r="K335" s="160"/>
      <c r="L335" s="160"/>
      <c r="M335" s="160"/>
      <c r="N335" s="180"/>
      <c r="O335" s="180"/>
      <c r="P335" s="180"/>
      <c r="Q335" s="180"/>
      <c r="R335" s="180"/>
      <c r="S335" s="180"/>
    </row>
    <row r="336" spans="2:19">
      <c r="B336" s="267"/>
      <c r="C336" s="193"/>
      <c r="D336" s="204" t="s">
        <v>20</v>
      </c>
      <c r="E336" s="160"/>
      <c r="F336" s="160"/>
      <c r="G336" s="160"/>
      <c r="H336" s="160"/>
      <c r="I336" s="160"/>
      <c r="J336" s="160"/>
      <c r="K336" s="160"/>
      <c r="L336" s="160"/>
      <c r="M336" s="160"/>
      <c r="N336" s="180"/>
      <c r="O336" s="180"/>
      <c r="P336" s="180"/>
      <c r="Q336" s="180"/>
      <c r="R336" s="180"/>
      <c r="S336" s="180"/>
    </row>
    <row r="337" spans="2:19">
      <c r="B337" s="267"/>
      <c r="C337" s="193"/>
      <c r="D337" s="204" t="s">
        <v>21</v>
      </c>
      <c r="E337" s="160"/>
      <c r="F337" s="160"/>
      <c r="G337" s="160"/>
      <c r="H337" s="160"/>
      <c r="I337" s="160"/>
      <c r="J337" s="160"/>
      <c r="K337" s="160"/>
      <c r="L337" s="160"/>
      <c r="M337" s="160"/>
      <c r="N337" s="180"/>
      <c r="O337" s="180"/>
      <c r="P337" s="180"/>
      <c r="Q337" s="180"/>
      <c r="R337" s="180"/>
      <c r="S337" s="180"/>
    </row>
    <row r="338" spans="2:19">
      <c r="B338" s="267"/>
      <c r="C338" s="193"/>
      <c r="D338" s="204" t="s">
        <v>22</v>
      </c>
      <c r="E338" s="160"/>
      <c r="F338" s="160"/>
      <c r="G338" s="160"/>
      <c r="H338" s="160"/>
      <c r="I338" s="160"/>
      <c r="J338" s="160"/>
      <c r="K338" s="160"/>
      <c r="L338" s="160"/>
      <c r="M338" s="160"/>
      <c r="N338" s="180"/>
      <c r="O338" s="180"/>
      <c r="P338" s="180"/>
      <c r="Q338" s="180"/>
      <c r="R338" s="180"/>
      <c r="S338" s="180"/>
    </row>
    <row r="339" spans="2:19">
      <c r="B339" s="192"/>
      <c r="C339" s="193"/>
      <c r="D339" s="204" t="str">
        <f>"(ln "&amp;B174&amp;") multiplied by (1/1-T) .  If the applicable tax rates are zero enter 0."</f>
        <v>(ln 101) multiplied by (1/1-T) .  If the applicable tax rates are zero enter 0.</v>
      </c>
      <c r="H339" s="160"/>
      <c r="I339" s="160"/>
      <c r="J339" s="160"/>
      <c r="K339" s="160"/>
      <c r="L339" s="160"/>
      <c r="M339" s="160"/>
      <c r="N339" s="180"/>
      <c r="O339" s="180"/>
      <c r="P339" s="180"/>
      <c r="Q339" s="180"/>
      <c r="R339" s="180"/>
      <c r="S339" s="180"/>
    </row>
    <row r="340" spans="2:19">
      <c r="B340" s="403"/>
      <c r="C340" s="180"/>
      <c r="D340" s="204" t="s">
        <v>149</v>
      </c>
      <c r="E340" s="180" t="s">
        <v>150</v>
      </c>
      <c r="F340" s="148">
        <v>0.21</v>
      </c>
      <c r="G340" s="180"/>
      <c r="H340" s="160"/>
      <c r="I340" s="160"/>
      <c r="J340" s="160"/>
      <c r="K340" s="160"/>
      <c r="L340" s="160"/>
      <c r="M340" s="160"/>
      <c r="N340" s="180"/>
      <c r="O340" s="180"/>
      <c r="P340" s="180"/>
      <c r="Q340" s="180"/>
      <c r="R340" s="180"/>
      <c r="S340" s="180"/>
    </row>
    <row r="341" spans="2:19">
      <c r="B341" s="403"/>
      <c r="C341" s="180"/>
      <c r="D341" s="204"/>
      <c r="E341" s="180" t="s">
        <v>151</v>
      </c>
      <c r="F341" s="392">
        <f>+'WS G  State Tax Rate'!F29</f>
        <v>5.0099999999999999E-2</v>
      </c>
      <c r="G341" s="180" t="s">
        <v>303</v>
      </c>
      <c r="H341" s="160"/>
      <c r="I341" s="160"/>
      <c r="J341" s="160"/>
      <c r="K341" s="160"/>
      <c r="L341" s="160"/>
      <c r="M341" s="160"/>
      <c r="N341" s="180"/>
      <c r="O341" s="180"/>
      <c r="P341" s="180"/>
      <c r="Q341" s="180"/>
      <c r="R341" s="180"/>
      <c r="S341" s="180"/>
    </row>
    <row r="342" spans="2:19">
      <c r="B342" s="403"/>
      <c r="C342" s="180"/>
      <c r="D342" s="204"/>
      <c r="E342" s="180" t="s">
        <v>152</v>
      </c>
      <c r="F342" s="148">
        <v>0</v>
      </c>
      <c r="G342" s="180" t="s">
        <v>153</v>
      </c>
      <c r="H342" s="160"/>
      <c r="I342" s="160"/>
      <c r="J342" s="160"/>
      <c r="K342" s="160"/>
      <c r="L342" s="160"/>
      <c r="M342" s="160"/>
      <c r="N342" s="180"/>
      <c r="O342" s="180"/>
      <c r="P342" s="180"/>
      <c r="Q342" s="180"/>
      <c r="R342" s="180"/>
      <c r="S342" s="180"/>
    </row>
    <row r="343" spans="2:19" ht="46.5" customHeight="1">
      <c r="B343" s="267"/>
      <c r="C343" s="193"/>
      <c r="D343" s="1485" t="s">
        <v>606</v>
      </c>
      <c r="E343" s="1485"/>
      <c r="F343" s="1485"/>
      <c r="G343" s="1485"/>
      <c r="H343" s="1485"/>
      <c r="I343" s="1485"/>
      <c r="J343" s="1485"/>
      <c r="K343" s="160"/>
      <c r="L343" s="160"/>
      <c r="M343" s="180"/>
      <c r="N343" s="180"/>
      <c r="O343" s="180"/>
      <c r="P343" s="180"/>
      <c r="Q343" s="180"/>
      <c r="R343" s="180"/>
      <c r="S343" s="180"/>
    </row>
    <row r="344" spans="2:19">
      <c r="B344" s="192" t="s">
        <v>154</v>
      </c>
      <c r="C344" s="193"/>
      <c r="D344" s="204" t="s">
        <v>549</v>
      </c>
      <c r="E344" s="160"/>
      <c r="F344" s="160"/>
      <c r="G344" s="160"/>
      <c r="H344" s="160"/>
      <c r="I344" s="160"/>
      <c r="J344" s="160"/>
      <c r="K344" s="160"/>
      <c r="L344" s="160"/>
      <c r="M344" s="160"/>
      <c r="N344" s="180"/>
      <c r="O344" s="180"/>
      <c r="P344" s="180"/>
      <c r="Q344" s="180"/>
      <c r="R344" s="180"/>
      <c r="S344" s="180"/>
    </row>
    <row r="345" spans="2:19">
      <c r="B345" s="155"/>
      <c r="D345" s="204"/>
      <c r="E345" s="160"/>
      <c r="F345" s="160"/>
      <c r="G345" s="160"/>
      <c r="H345" s="160"/>
      <c r="I345" s="160"/>
      <c r="J345" s="160"/>
      <c r="K345" s="160"/>
      <c r="L345" s="160"/>
      <c r="M345" s="160"/>
      <c r="N345" s="180"/>
      <c r="O345" s="180"/>
      <c r="P345" s="180"/>
      <c r="Q345" s="180"/>
      <c r="R345" s="180"/>
      <c r="S345" s="180"/>
    </row>
    <row r="346" spans="2:19">
      <c r="B346" s="192" t="s">
        <v>155</v>
      </c>
      <c r="C346" s="193"/>
      <c r="D346" s="204" t="s">
        <v>361</v>
      </c>
      <c r="E346" s="160"/>
      <c r="F346" s="160"/>
      <c r="G346" s="160"/>
      <c r="H346" s="160"/>
      <c r="I346" s="160"/>
      <c r="J346" s="160"/>
      <c r="K346" s="160"/>
      <c r="L346" s="160"/>
      <c r="M346" s="160"/>
      <c r="N346" s="180"/>
      <c r="O346" s="180"/>
      <c r="P346" s="180"/>
      <c r="Q346" s="180"/>
      <c r="R346" s="180"/>
      <c r="S346" s="180"/>
    </row>
    <row r="347" spans="2:19">
      <c r="B347" s="192"/>
      <c r="C347" s="193"/>
      <c r="D347" s="204"/>
      <c r="E347" s="180"/>
      <c r="F347" s="180"/>
      <c r="G347" s="180"/>
      <c r="H347" s="180"/>
      <c r="I347" s="180"/>
      <c r="J347" s="180"/>
      <c r="K347" s="180"/>
      <c r="L347" s="180"/>
      <c r="M347" s="180"/>
      <c r="N347" s="180"/>
      <c r="O347" s="180"/>
      <c r="P347" s="180"/>
      <c r="Q347" s="180"/>
      <c r="R347" s="180"/>
      <c r="S347" s="180"/>
    </row>
    <row r="348" spans="2:19">
      <c r="B348" s="192" t="s">
        <v>156</v>
      </c>
      <c r="C348" s="193"/>
      <c r="D348" s="204" t="s">
        <v>620</v>
      </c>
      <c r="E348" s="180"/>
      <c r="F348" s="180"/>
      <c r="G348" s="180"/>
      <c r="H348" s="180"/>
      <c r="I348" s="180"/>
      <c r="J348" s="180"/>
      <c r="K348" s="180"/>
      <c r="L348" s="180"/>
      <c r="M348" s="180"/>
      <c r="N348" s="180"/>
      <c r="O348" s="180"/>
      <c r="P348" s="180"/>
      <c r="Q348" s="180"/>
      <c r="R348" s="180"/>
      <c r="S348" s="180"/>
    </row>
    <row r="349" spans="2:19">
      <c r="B349" s="192"/>
      <c r="C349" s="193"/>
      <c r="D349" s="204"/>
      <c r="E349" s="180"/>
      <c r="F349" s="180"/>
      <c r="G349" s="180"/>
      <c r="H349" s="180"/>
      <c r="I349" s="180"/>
      <c r="J349" s="180"/>
      <c r="K349" s="180"/>
      <c r="L349" s="180"/>
      <c r="M349" s="180"/>
      <c r="N349" s="180"/>
      <c r="O349" s="180"/>
      <c r="P349" s="180"/>
      <c r="Q349" s="180"/>
      <c r="R349" s="180"/>
      <c r="S349" s="180"/>
    </row>
    <row r="350" spans="2:19" ht="15.75" customHeight="1">
      <c r="B350" s="404" t="s">
        <v>157</v>
      </c>
      <c r="C350" s="405"/>
      <c r="D350" s="1486" t="s">
        <v>976</v>
      </c>
      <c r="E350" s="1486"/>
      <c r="F350" s="1486"/>
      <c r="G350" s="1486"/>
      <c r="H350" s="1486"/>
      <c r="I350" s="1486"/>
      <c r="J350" s="1486"/>
      <c r="M350" s="172"/>
      <c r="N350" s="180"/>
      <c r="O350" s="180"/>
      <c r="P350" s="180"/>
      <c r="Q350" s="180"/>
      <c r="R350" s="180"/>
      <c r="S350" s="180"/>
    </row>
    <row r="351" spans="2:19" ht="15.75" customHeight="1">
      <c r="B351" s="405"/>
      <c r="C351" s="405"/>
      <c r="D351" s="1486" t="s">
        <v>977</v>
      </c>
      <c r="E351" s="1486"/>
      <c r="F351" s="1486"/>
      <c r="G351" s="1486"/>
      <c r="H351" s="1486"/>
      <c r="I351" s="1486"/>
      <c r="J351" s="1486"/>
      <c r="M351" s="172"/>
      <c r="N351" s="180"/>
      <c r="O351" s="180"/>
      <c r="P351" s="180"/>
      <c r="Q351" s="180"/>
      <c r="R351" s="180"/>
      <c r="S351" s="180"/>
    </row>
    <row r="352" spans="2:19" ht="15.75">
      <c r="B352" s="405"/>
      <c r="C352" s="405"/>
      <c r="D352" s="1486"/>
      <c r="E352" s="1486"/>
      <c r="F352" s="1486"/>
      <c r="G352" s="1486"/>
      <c r="H352" s="1486"/>
      <c r="I352" s="1486"/>
      <c r="J352" s="1486"/>
      <c r="M352" s="172"/>
      <c r="N352" s="180"/>
      <c r="O352" s="180"/>
      <c r="P352" s="180"/>
      <c r="Q352" s="180"/>
      <c r="R352" s="180"/>
      <c r="S352" s="180"/>
    </row>
    <row r="353" spans="2:19" ht="95.25" customHeight="1">
      <c r="B353" s="405"/>
      <c r="C353" s="405"/>
      <c r="D353" s="1486"/>
      <c r="E353" s="1486"/>
      <c r="F353" s="1486"/>
      <c r="G353" s="1486"/>
      <c r="H353" s="1486"/>
      <c r="I353" s="1486"/>
      <c r="J353" s="1486"/>
      <c r="M353" s="172"/>
      <c r="N353" s="180"/>
      <c r="O353" s="180"/>
      <c r="P353" s="180"/>
      <c r="Q353" s="180"/>
      <c r="R353" s="180"/>
      <c r="S353" s="180"/>
    </row>
    <row r="354" spans="2:19" ht="0.75" hidden="1" customHeight="1">
      <c r="B354" s="405"/>
      <c r="C354" s="405"/>
      <c r="D354" s="1258"/>
      <c r="E354" s="1258"/>
      <c r="F354" s="1258"/>
      <c r="G354" s="1258"/>
      <c r="H354" s="1258"/>
      <c r="I354" s="1258"/>
      <c r="J354" s="1258"/>
      <c r="M354" s="172"/>
      <c r="N354" s="180"/>
      <c r="O354" s="180"/>
      <c r="P354" s="180"/>
      <c r="Q354" s="180"/>
      <c r="R354" s="180"/>
      <c r="S354" s="180"/>
    </row>
    <row r="355" spans="2:19" ht="54.75" hidden="1" customHeight="1">
      <c r="B355" s="405"/>
      <c r="C355" s="405"/>
      <c r="D355" s="1258"/>
      <c r="E355" s="1258"/>
      <c r="F355" s="1258"/>
      <c r="G355" s="1258"/>
      <c r="H355" s="1258"/>
      <c r="I355" s="1258"/>
      <c r="J355" s="1258"/>
      <c r="M355" s="172"/>
      <c r="N355" s="180"/>
      <c r="O355" s="180"/>
      <c r="P355" s="180"/>
      <c r="Q355" s="180"/>
      <c r="R355" s="180"/>
      <c r="S355" s="180"/>
    </row>
    <row r="356" spans="2:19" ht="16.5" customHeight="1">
      <c r="B356" s="405"/>
      <c r="C356" s="405"/>
      <c r="D356" s="1258"/>
      <c r="E356" s="1258"/>
      <c r="F356" s="1258"/>
      <c r="G356" s="1258"/>
      <c r="H356" s="1258"/>
      <c r="I356" s="1258"/>
      <c r="J356" s="1258"/>
      <c r="M356" s="172"/>
      <c r="N356" s="180"/>
      <c r="O356" s="180"/>
      <c r="P356" s="180"/>
      <c r="Q356" s="180"/>
      <c r="R356" s="180"/>
      <c r="S356" s="180"/>
    </row>
    <row r="357" spans="2:19" ht="98.25" customHeight="1">
      <c r="B357" s="192" t="s">
        <v>203</v>
      </c>
      <c r="C357" s="405"/>
      <c r="D357" s="1473" t="s">
        <v>765</v>
      </c>
      <c r="E357" s="1474"/>
      <c r="F357" s="1474"/>
      <c r="G357" s="1474"/>
      <c r="H357" s="1474"/>
      <c r="I357" s="1474"/>
      <c r="J357" s="1474"/>
      <c r="M357" s="180"/>
      <c r="N357" s="180"/>
      <c r="O357" s="180"/>
      <c r="P357" s="180"/>
      <c r="Q357" s="180"/>
      <c r="R357" s="180"/>
      <c r="S357" s="180"/>
    </row>
    <row r="358" spans="2:19" ht="15.75">
      <c r="B358" s="192"/>
      <c r="C358" s="405"/>
      <c r="D358" s="406"/>
      <c r="E358" s="407"/>
      <c r="F358" s="407"/>
      <c r="G358" s="407"/>
      <c r="H358" s="407"/>
      <c r="I358" s="407"/>
      <c r="J358" s="407"/>
      <c r="M358" s="180"/>
      <c r="N358" s="180"/>
      <c r="O358" s="180"/>
      <c r="P358" s="180"/>
      <c r="Q358" s="180"/>
      <c r="R358" s="180"/>
      <c r="S358" s="180"/>
    </row>
    <row r="359" spans="2:19">
      <c r="B359" s="192" t="s">
        <v>561</v>
      </c>
      <c r="C359" s="408"/>
      <c r="D359" s="1472" t="s">
        <v>607</v>
      </c>
      <c r="E359" s="1472"/>
      <c r="F359" s="1472"/>
      <c r="G359" s="1472"/>
      <c r="H359" s="1472"/>
      <c r="I359" s="1472"/>
      <c r="J359" s="1472"/>
      <c r="K359" s="409"/>
      <c r="M359" s="180"/>
      <c r="N359" s="180"/>
      <c r="O359" s="180"/>
      <c r="P359" s="180"/>
      <c r="Q359" s="180"/>
      <c r="R359" s="180"/>
      <c r="S359" s="180"/>
    </row>
    <row r="360" spans="2:19">
      <c r="B360" s="192"/>
      <c r="C360" s="193"/>
      <c r="D360" s="155" t="s">
        <v>416</v>
      </c>
      <c r="M360" s="180"/>
      <c r="N360" s="180"/>
      <c r="O360" s="180"/>
      <c r="P360" s="180"/>
      <c r="Q360" s="180"/>
      <c r="R360" s="180"/>
      <c r="S360" s="180"/>
    </row>
    <row r="361" spans="2:19">
      <c r="B361" s="192" t="s">
        <v>608</v>
      </c>
      <c r="C361" s="193"/>
      <c r="D361" s="155" t="s">
        <v>609</v>
      </c>
      <c r="M361" s="180"/>
      <c r="N361" s="180"/>
      <c r="O361" s="180"/>
      <c r="P361" s="180"/>
      <c r="Q361" s="180"/>
      <c r="R361" s="180"/>
      <c r="S361" s="180"/>
    </row>
    <row r="362" spans="2:19">
      <c r="B362" s="192"/>
      <c r="C362" s="193"/>
      <c r="M362" s="180"/>
      <c r="N362" s="180"/>
      <c r="O362" s="180"/>
      <c r="P362" s="180"/>
      <c r="Q362" s="180"/>
      <c r="R362" s="180"/>
      <c r="S362" s="180"/>
    </row>
    <row r="363" spans="2:19" ht="30" customHeight="1">
      <c r="B363" s="192" t="s">
        <v>610</v>
      </c>
      <c r="C363" s="193"/>
      <c r="D363" s="1472" t="s">
        <v>611</v>
      </c>
      <c r="E363" s="1472"/>
      <c r="F363" s="1472"/>
      <c r="G363" s="1472"/>
      <c r="H363" s="1472"/>
      <c r="I363" s="1472"/>
      <c r="J363" s="1472"/>
      <c r="K363" s="1472"/>
      <c r="M363" s="180"/>
      <c r="N363" s="180"/>
      <c r="O363" s="180"/>
      <c r="P363" s="180"/>
      <c r="Q363" s="180"/>
      <c r="R363" s="180"/>
      <c r="S363" s="180"/>
    </row>
    <row r="364" spans="2:19">
      <c r="B364" s="172"/>
      <c r="C364" s="172"/>
      <c r="D364" s="172"/>
      <c r="E364" s="172"/>
      <c r="F364" s="172"/>
      <c r="G364" s="172"/>
      <c r="H364" s="172"/>
      <c r="M364" s="180"/>
      <c r="N364" s="180"/>
      <c r="O364" s="180"/>
      <c r="P364" s="180"/>
      <c r="Q364" s="180"/>
      <c r="R364" s="180"/>
      <c r="S364" s="180"/>
    </row>
    <row r="365" spans="2:19" ht="46.5" customHeight="1">
      <c r="B365" s="269" t="s">
        <v>612</v>
      </c>
      <c r="C365" s="172"/>
      <c r="D365" s="1472" t="s">
        <v>616</v>
      </c>
      <c r="E365" s="1472"/>
      <c r="F365" s="1472"/>
      <c r="G365" s="1472"/>
      <c r="H365" s="1472"/>
      <c r="I365" s="1472"/>
      <c r="J365" s="1472"/>
      <c r="K365" s="1472"/>
      <c r="M365" s="180"/>
      <c r="N365" s="180"/>
      <c r="O365" s="180"/>
      <c r="P365" s="180"/>
      <c r="Q365" s="180"/>
      <c r="R365" s="180"/>
      <c r="S365" s="180"/>
    </row>
    <row r="366" spans="2:19">
      <c r="B366" s="1226" t="s">
        <v>641</v>
      </c>
      <c r="C366" s="1227"/>
      <c r="D366" s="1228" t="s">
        <v>642</v>
      </c>
      <c r="E366" s="1229"/>
      <c r="F366" s="1229"/>
      <c r="G366" s="1229"/>
      <c r="H366" s="1012"/>
      <c r="M366" s="180"/>
      <c r="N366" s="180"/>
      <c r="O366" s="180"/>
      <c r="P366" s="180"/>
      <c r="Q366" s="180"/>
      <c r="R366" s="180"/>
      <c r="S366" s="180"/>
    </row>
    <row r="367" spans="2:19">
      <c r="B367" s="1321" t="s">
        <v>834</v>
      </c>
      <c r="C367" s="384"/>
      <c r="D367" s="1471" t="s">
        <v>835</v>
      </c>
      <c r="E367" s="1471"/>
      <c r="F367" s="1471"/>
      <c r="G367" s="1471"/>
      <c r="H367" s="1471"/>
      <c r="I367" s="1471"/>
      <c r="J367" s="1471"/>
      <c r="K367" s="1471"/>
      <c r="M367" s="180"/>
      <c r="N367" s="180"/>
      <c r="O367" s="180"/>
      <c r="P367" s="180"/>
      <c r="Q367" s="180"/>
      <c r="R367" s="180"/>
      <c r="S367" s="180"/>
    </row>
    <row r="368" spans="2:19">
      <c r="B368" s="384"/>
      <c r="C368" s="384"/>
      <c r="D368" s="1471"/>
      <c r="E368" s="1471"/>
      <c r="F368" s="1471"/>
      <c r="G368" s="1471"/>
      <c r="H368" s="1471"/>
      <c r="I368" s="1471"/>
      <c r="J368" s="1471"/>
      <c r="K368" s="1471"/>
      <c r="M368" s="180"/>
      <c r="N368" s="180"/>
      <c r="O368" s="180"/>
      <c r="P368" s="180"/>
      <c r="Q368" s="180"/>
      <c r="R368" s="180"/>
      <c r="S368" s="180"/>
    </row>
    <row r="369" spans="2:19">
      <c r="B369" s="155"/>
      <c r="M369" s="180"/>
      <c r="N369" s="180"/>
      <c r="O369" s="180"/>
      <c r="P369" s="180"/>
      <c r="Q369" s="180"/>
      <c r="R369" s="180"/>
      <c r="S369" s="180"/>
    </row>
    <row r="370" spans="2:19">
      <c r="B370" s="155"/>
      <c r="M370" s="180"/>
      <c r="N370" s="180"/>
      <c r="O370" s="180"/>
      <c r="P370" s="180"/>
      <c r="Q370" s="180"/>
      <c r="R370" s="180"/>
      <c r="S370" s="180"/>
    </row>
    <row r="371" spans="2:19">
      <c r="B371" s="155"/>
      <c r="H371" s="180"/>
      <c r="I371" s="180"/>
      <c r="J371" s="180"/>
      <c r="K371" s="180"/>
      <c r="L371" s="180"/>
      <c r="M371" s="180"/>
      <c r="N371" s="180"/>
      <c r="O371" s="180"/>
      <c r="P371" s="180"/>
      <c r="Q371" s="180"/>
      <c r="R371" s="180"/>
      <c r="S371" s="180"/>
    </row>
    <row r="372" spans="2:19">
      <c r="B372" s="155"/>
      <c r="H372" s="180"/>
      <c r="K372" s="180"/>
      <c r="L372" s="180"/>
      <c r="M372" s="180"/>
      <c r="N372" s="180"/>
      <c r="O372" s="180"/>
      <c r="P372" s="180"/>
      <c r="Q372" s="180"/>
      <c r="R372" s="180"/>
      <c r="S372" s="180"/>
    </row>
    <row r="373" spans="2:19">
      <c r="B373" s="391"/>
      <c r="C373" s="160"/>
      <c r="D373" s="160"/>
      <c r="E373" s="160"/>
      <c r="F373" s="160"/>
      <c r="G373" s="160"/>
      <c r="H373" s="160"/>
      <c r="I373" s="160"/>
      <c r="J373" s="160"/>
      <c r="K373" s="160"/>
      <c r="L373" s="160"/>
      <c r="M373" s="160"/>
    </row>
    <row r="374" spans="2:19">
      <c r="B374" s="391"/>
      <c r="C374" s="160"/>
      <c r="D374" s="160"/>
      <c r="E374" s="160"/>
      <c r="F374" s="160"/>
      <c r="G374" s="160"/>
      <c r="H374" s="160"/>
      <c r="I374" s="160"/>
      <c r="J374" s="160"/>
      <c r="K374" s="160"/>
      <c r="L374" s="160"/>
      <c r="M374" s="160"/>
    </row>
    <row r="375" spans="2:19">
      <c r="B375" s="391"/>
      <c r="C375" s="160"/>
      <c r="D375" s="160"/>
      <c r="E375" s="160"/>
      <c r="F375" s="160"/>
      <c r="G375" s="160"/>
      <c r="H375" s="160"/>
      <c r="I375" s="160"/>
      <c r="J375" s="160"/>
      <c r="K375" s="160"/>
      <c r="L375" s="160"/>
      <c r="M375" s="160"/>
    </row>
    <row r="376" spans="2:19">
      <c r="B376" s="391"/>
      <c r="C376" s="160"/>
      <c r="D376" s="160"/>
      <c r="E376" s="160"/>
      <c r="F376" s="160"/>
      <c r="G376" s="160"/>
      <c r="H376" s="160"/>
      <c r="I376" s="160"/>
      <c r="J376" s="160"/>
      <c r="K376" s="160"/>
      <c r="L376" s="160"/>
      <c r="M376" s="160"/>
    </row>
    <row r="377" spans="2:19">
      <c r="B377" s="391"/>
      <c r="C377" s="160"/>
      <c r="D377" s="160"/>
      <c r="E377" s="160"/>
      <c r="F377" s="160"/>
      <c r="G377" s="160"/>
      <c r="H377" s="160"/>
      <c r="I377" s="160"/>
      <c r="J377" s="160"/>
      <c r="K377" s="160"/>
      <c r="L377" s="160"/>
      <c r="M377" s="160"/>
    </row>
    <row r="378" spans="2:19">
      <c r="B378" s="391"/>
      <c r="C378" s="160"/>
      <c r="D378" s="160"/>
      <c r="E378" s="160"/>
      <c r="F378" s="160"/>
      <c r="G378" s="160"/>
      <c r="H378" s="160"/>
      <c r="I378" s="160"/>
      <c r="J378" s="160"/>
      <c r="K378" s="160"/>
      <c r="L378" s="160"/>
      <c r="M378" s="160"/>
    </row>
    <row r="379" spans="2:19">
      <c r="B379" s="391"/>
      <c r="C379" s="160"/>
      <c r="D379" s="160"/>
      <c r="E379" s="160"/>
      <c r="F379" s="160"/>
      <c r="G379" s="160"/>
      <c r="H379" s="160"/>
      <c r="I379" s="160"/>
      <c r="J379" s="160"/>
      <c r="K379" s="160"/>
      <c r="L379" s="160"/>
      <c r="M379" s="160"/>
    </row>
    <row r="380" spans="2:19">
      <c r="B380" s="391"/>
      <c r="C380" s="160"/>
      <c r="D380" s="160"/>
      <c r="E380" s="160"/>
      <c r="F380" s="160"/>
      <c r="G380" s="160"/>
      <c r="H380" s="160"/>
      <c r="I380" s="160"/>
      <c r="J380" s="160"/>
      <c r="K380" s="160"/>
      <c r="L380" s="160"/>
      <c r="M380" s="160"/>
    </row>
    <row r="381" spans="2:19">
      <c r="B381" s="391"/>
      <c r="C381" s="160"/>
      <c r="D381" s="160"/>
      <c r="E381" s="160"/>
      <c r="F381" s="160"/>
      <c r="G381" s="160"/>
      <c r="H381" s="160"/>
      <c r="I381" s="160"/>
      <c r="J381" s="160"/>
      <c r="K381" s="160"/>
      <c r="L381" s="160"/>
      <c r="M381" s="160"/>
    </row>
    <row r="382" spans="2:19">
      <c r="B382" s="391"/>
      <c r="C382" s="160"/>
      <c r="D382" s="160"/>
      <c r="E382" s="160"/>
      <c r="F382" s="160"/>
      <c r="G382" s="160"/>
      <c r="H382" s="160"/>
      <c r="I382" s="160"/>
      <c r="J382" s="160"/>
      <c r="K382" s="160"/>
      <c r="L382" s="160"/>
      <c r="M382" s="160"/>
    </row>
    <row r="383" spans="2:19">
      <c r="B383" s="391"/>
      <c r="C383" s="160"/>
      <c r="D383" s="160"/>
      <c r="E383" s="160"/>
      <c r="F383" s="160"/>
      <c r="G383" s="160"/>
      <c r="H383" s="160"/>
      <c r="I383" s="160"/>
      <c r="J383" s="160"/>
      <c r="K383" s="160"/>
      <c r="L383" s="160"/>
      <c r="M383" s="160"/>
    </row>
    <row r="384" spans="2:19">
      <c r="B384" s="391"/>
      <c r="C384" s="160"/>
      <c r="D384" s="160"/>
      <c r="E384" s="160"/>
      <c r="F384" s="160"/>
      <c r="G384" s="160"/>
      <c r="H384" s="160"/>
      <c r="I384" s="160"/>
      <c r="J384" s="160"/>
      <c r="K384" s="160"/>
      <c r="L384" s="160"/>
      <c r="M384" s="160"/>
    </row>
    <row r="385" spans="2:13">
      <c r="B385" s="391"/>
      <c r="C385" s="160"/>
      <c r="D385" s="160"/>
      <c r="E385" s="160"/>
      <c r="F385" s="160"/>
      <c r="G385" s="160"/>
      <c r="H385" s="160"/>
      <c r="I385" s="160"/>
      <c r="J385" s="160"/>
      <c r="K385" s="160"/>
      <c r="L385" s="160"/>
      <c r="M385" s="160"/>
    </row>
    <row r="386" spans="2:13">
      <c r="B386" s="391"/>
      <c r="C386" s="160"/>
      <c r="D386" s="160"/>
      <c r="E386" s="160"/>
      <c r="F386" s="160"/>
      <c r="G386" s="160"/>
      <c r="H386" s="160"/>
      <c r="I386" s="160"/>
      <c r="J386" s="160"/>
      <c r="K386" s="160"/>
      <c r="L386" s="160"/>
      <c r="M386" s="160"/>
    </row>
    <row r="387" spans="2:13">
      <c r="B387" s="391"/>
      <c r="C387" s="160"/>
      <c r="D387" s="160"/>
      <c r="E387" s="160"/>
      <c r="F387" s="160"/>
      <c r="G387" s="160"/>
      <c r="H387" s="160"/>
      <c r="I387" s="160"/>
      <c r="J387" s="160"/>
      <c r="K387" s="160"/>
      <c r="L387" s="160"/>
      <c r="M387" s="160"/>
    </row>
    <row r="388" spans="2:13">
      <c r="B388" s="391"/>
      <c r="C388" s="160"/>
      <c r="D388" s="160"/>
      <c r="E388" s="160"/>
      <c r="F388" s="160"/>
      <c r="G388" s="160"/>
      <c r="H388" s="160"/>
      <c r="I388" s="160"/>
      <c r="J388" s="160"/>
      <c r="K388" s="160"/>
      <c r="L388" s="160"/>
      <c r="M388" s="160"/>
    </row>
    <row r="389" spans="2:13">
      <c r="B389" s="391"/>
      <c r="C389" s="160"/>
      <c r="D389" s="160"/>
      <c r="E389" s="160"/>
      <c r="F389" s="160"/>
      <c r="G389" s="160"/>
      <c r="H389" s="160"/>
      <c r="I389" s="160"/>
      <c r="J389" s="160"/>
      <c r="K389" s="160"/>
      <c r="L389" s="160"/>
      <c r="M389" s="160"/>
    </row>
    <row r="390" spans="2:13">
      <c r="B390" s="391"/>
      <c r="C390" s="160"/>
      <c r="D390" s="160"/>
      <c r="E390" s="160"/>
      <c r="F390" s="160"/>
      <c r="G390" s="160"/>
      <c r="H390" s="160"/>
      <c r="I390" s="160"/>
      <c r="J390" s="160"/>
      <c r="K390" s="160"/>
      <c r="L390" s="160"/>
      <c r="M390" s="160"/>
    </row>
    <row r="391" spans="2:13">
      <c r="B391" s="391"/>
      <c r="C391" s="160"/>
      <c r="D391" s="160"/>
      <c r="E391" s="160"/>
      <c r="F391" s="160"/>
      <c r="G391" s="160"/>
      <c r="H391" s="160"/>
      <c r="I391" s="160"/>
      <c r="J391" s="160"/>
      <c r="K391" s="160"/>
      <c r="L391" s="160"/>
      <c r="M391" s="160"/>
    </row>
    <row r="392" spans="2:13">
      <c r="B392" s="391"/>
      <c r="C392" s="160"/>
      <c r="D392" s="160"/>
      <c r="E392" s="160"/>
      <c r="F392" s="160"/>
      <c r="G392" s="160"/>
      <c r="H392" s="160"/>
      <c r="I392" s="160"/>
      <c r="J392" s="160"/>
      <c r="K392" s="160"/>
      <c r="L392" s="160"/>
      <c r="M392" s="160"/>
    </row>
    <row r="393" spans="2:13">
      <c r="B393" s="391"/>
      <c r="C393" s="160"/>
      <c r="D393" s="160"/>
      <c r="E393" s="160"/>
      <c r="F393" s="160"/>
      <c r="G393" s="160"/>
      <c r="H393" s="160"/>
      <c r="I393" s="160"/>
      <c r="J393" s="160"/>
      <c r="K393" s="160"/>
      <c r="L393" s="160"/>
      <c r="M393" s="160"/>
    </row>
    <row r="394" spans="2:13">
      <c r="B394" s="391"/>
      <c r="C394" s="160"/>
      <c r="D394" s="160"/>
      <c r="E394" s="160"/>
      <c r="F394" s="160"/>
      <c r="G394" s="160"/>
      <c r="H394" s="160"/>
      <c r="I394" s="160"/>
      <c r="J394" s="160"/>
      <c r="K394" s="160"/>
      <c r="L394" s="160"/>
      <c r="M394" s="160"/>
    </row>
    <row r="395" spans="2:13">
      <c r="B395" s="391"/>
      <c r="C395" s="160"/>
      <c r="D395" s="160"/>
      <c r="E395" s="160"/>
      <c r="F395" s="160"/>
      <c r="G395" s="160"/>
      <c r="H395" s="160"/>
      <c r="I395" s="160"/>
      <c r="J395" s="160"/>
      <c r="K395" s="160"/>
      <c r="L395" s="160"/>
      <c r="M395" s="160"/>
    </row>
    <row r="396" spans="2:13">
      <c r="B396" s="391"/>
      <c r="C396" s="160"/>
      <c r="D396" s="160"/>
      <c r="E396" s="160"/>
      <c r="F396" s="160"/>
      <c r="G396" s="160"/>
      <c r="H396" s="160"/>
      <c r="I396" s="160"/>
      <c r="J396" s="160"/>
      <c r="K396" s="160"/>
      <c r="L396" s="160"/>
      <c r="M396" s="160"/>
    </row>
    <row r="397" spans="2:13">
      <c r="B397" s="391"/>
      <c r="C397" s="160"/>
      <c r="D397" s="160"/>
      <c r="E397" s="160"/>
      <c r="F397" s="160"/>
      <c r="G397" s="160"/>
      <c r="H397" s="160"/>
      <c r="I397" s="160"/>
      <c r="J397" s="160"/>
      <c r="K397" s="160"/>
      <c r="L397" s="160"/>
      <c r="M397" s="160"/>
    </row>
    <row r="398" spans="2:13">
      <c r="B398" s="391"/>
      <c r="C398" s="160"/>
      <c r="D398" s="160"/>
      <c r="E398" s="160"/>
      <c r="F398" s="160"/>
      <c r="G398" s="160"/>
      <c r="H398" s="160"/>
      <c r="I398" s="160"/>
      <c r="J398" s="160"/>
      <c r="K398" s="160"/>
      <c r="L398" s="160"/>
      <c r="M398" s="160"/>
    </row>
    <row r="399" spans="2:13">
      <c r="B399" s="391"/>
      <c r="C399" s="160"/>
      <c r="D399" s="160"/>
      <c r="E399" s="160"/>
      <c r="F399" s="160"/>
      <c r="G399" s="160"/>
      <c r="H399" s="160"/>
      <c r="I399" s="160"/>
      <c r="J399" s="160"/>
      <c r="K399" s="160"/>
      <c r="L399" s="160"/>
      <c r="M399" s="160"/>
    </row>
    <row r="400" spans="2:13">
      <c r="B400" s="391"/>
      <c r="C400" s="160"/>
      <c r="D400" s="160"/>
      <c r="E400" s="160"/>
      <c r="F400" s="160"/>
      <c r="G400" s="160"/>
      <c r="H400" s="160"/>
      <c r="I400" s="160"/>
      <c r="J400" s="160"/>
      <c r="K400" s="160"/>
      <c r="L400" s="160"/>
      <c r="M400" s="160"/>
    </row>
    <row r="401" spans="2:13">
      <c r="B401" s="391"/>
      <c r="C401" s="160"/>
      <c r="D401" s="160"/>
      <c r="E401" s="160"/>
      <c r="F401" s="160"/>
      <c r="G401" s="160"/>
      <c r="H401" s="160"/>
      <c r="I401" s="160"/>
      <c r="J401" s="160"/>
      <c r="K401" s="160"/>
      <c r="L401" s="160"/>
      <c r="M401" s="160"/>
    </row>
    <row r="402" spans="2:13">
      <c r="B402" s="391"/>
      <c r="C402" s="160"/>
      <c r="D402" s="160"/>
      <c r="E402" s="160"/>
      <c r="F402" s="160"/>
      <c r="G402" s="160"/>
      <c r="H402" s="160"/>
      <c r="I402" s="160"/>
      <c r="J402" s="160"/>
      <c r="K402" s="160"/>
      <c r="L402" s="160"/>
      <c r="M402" s="160"/>
    </row>
    <row r="403" spans="2:13">
      <c r="B403" s="391"/>
      <c r="C403" s="160"/>
      <c r="D403" s="160"/>
      <c r="E403" s="160"/>
      <c r="F403" s="160"/>
      <c r="G403" s="160"/>
      <c r="H403" s="160"/>
      <c r="I403" s="160"/>
      <c r="J403" s="160"/>
      <c r="K403" s="160"/>
      <c r="L403" s="160"/>
      <c r="M403" s="160"/>
    </row>
    <row r="404" spans="2:13">
      <c r="B404" s="391"/>
      <c r="C404" s="160"/>
      <c r="D404" s="160"/>
      <c r="E404" s="160"/>
      <c r="F404" s="160"/>
      <c r="G404" s="160"/>
      <c r="H404" s="160"/>
      <c r="I404" s="160"/>
      <c r="J404" s="160"/>
      <c r="K404" s="160"/>
      <c r="L404" s="160"/>
      <c r="M404" s="160"/>
    </row>
    <row r="405" spans="2:13">
      <c r="B405" s="391"/>
      <c r="C405" s="160"/>
      <c r="D405" s="160"/>
      <c r="E405" s="160"/>
      <c r="F405" s="160"/>
      <c r="G405" s="160"/>
      <c r="H405" s="160"/>
      <c r="I405" s="160"/>
      <c r="J405" s="160"/>
      <c r="K405" s="160"/>
      <c r="L405" s="160"/>
      <c r="M405" s="160"/>
    </row>
    <row r="406" spans="2:13">
      <c r="B406" s="391"/>
      <c r="C406" s="160"/>
      <c r="D406" s="160"/>
      <c r="E406" s="160"/>
      <c r="F406" s="160"/>
      <c r="G406" s="160"/>
      <c r="H406" s="160"/>
      <c r="I406" s="160"/>
      <c r="J406" s="160"/>
      <c r="K406" s="160"/>
      <c r="L406" s="160"/>
      <c r="M406" s="160"/>
    </row>
    <row r="407" spans="2:13">
      <c r="B407" s="391"/>
      <c r="C407" s="160"/>
      <c r="D407" s="160"/>
      <c r="E407" s="160"/>
      <c r="F407" s="160"/>
      <c r="G407" s="160"/>
      <c r="H407" s="160"/>
      <c r="I407" s="160"/>
      <c r="J407" s="160"/>
      <c r="K407" s="160"/>
      <c r="L407" s="160"/>
      <c r="M407" s="160"/>
    </row>
    <row r="408" spans="2:13">
      <c r="B408" s="391"/>
      <c r="C408" s="160"/>
      <c r="D408" s="160"/>
      <c r="E408" s="160"/>
      <c r="F408" s="160"/>
      <c r="G408" s="160"/>
      <c r="H408" s="160"/>
      <c r="I408" s="160"/>
      <c r="J408" s="160"/>
      <c r="K408" s="160"/>
      <c r="L408" s="160"/>
      <c r="M408" s="160"/>
    </row>
    <row r="409" spans="2:13">
      <c r="B409" s="391"/>
      <c r="C409" s="160"/>
      <c r="D409" s="160"/>
      <c r="E409" s="160"/>
      <c r="F409" s="160"/>
      <c r="G409" s="160"/>
      <c r="H409" s="160"/>
      <c r="I409" s="160"/>
      <c r="J409" s="160"/>
      <c r="K409" s="160"/>
      <c r="L409" s="160"/>
      <c r="M409" s="160"/>
    </row>
    <row r="410" spans="2:13">
      <c r="B410" s="391"/>
      <c r="C410" s="160"/>
      <c r="D410" s="160"/>
      <c r="E410" s="160"/>
      <c r="F410" s="160"/>
      <c r="G410" s="160"/>
      <c r="H410" s="160"/>
      <c r="I410" s="160"/>
      <c r="J410" s="160"/>
      <c r="K410" s="160"/>
      <c r="L410" s="160"/>
      <c r="M410" s="160"/>
    </row>
    <row r="411" spans="2:13">
      <c r="B411" s="391"/>
      <c r="C411" s="160"/>
      <c r="D411" s="160"/>
      <c r="E411" s="160"/>
      <c r="F411" s="160"/>
      <c r="G411" s="160"/>
      <c r="H411" s="160"/>
      <c r="I411" s="160"/>
      <c r="J411" s="160"/>
      <c r="K411" s="160"/>
      <c r="L411" s="160"/>
      <c r="M411" s="160"/>
    </row>
    <row r="412" spans="2:13">
      <c r="B412" s="391"/>
      <c r="C412" s="160"/>
      <c r="D412" s="160"/>
      <c r="E412" s="160"/>
      <c r="F412" s="160"/>
      <c r="G412" s="160"/>
      <c r="H412" s="160"/>
      <c r="I412" s="160"/>
      <c r="J412" s="160"/>
      <c r="K412" s="160"/>
      <c r="L412" s="160"/>
      <c r="M412" s="160"/>
    </row>
    <row r="413" spans="2:13">
      <c r="B413" s="391"/>
      <c r="C413" s="160"/>
      <c r="D413" s="160"/>
      <c r="E413" s="160"/>
      <c r="F413" s="160"/>
      <c r="G413" s="160"/>
      <c r="H413" s="160"/>
      <c r="I413" s="160"/>
      <c r="J413" s="160"/>
      <c r="K413" s="160"/>
      <c r="L413" s="160"/>
      <c r="M413" s="160"/>
    </row>
    <row r="414" spans="2:13">
      <c r="B414" s="391"/>
      <c r="C414" s="160"/>
      <c r="D414" s="160"/>
      <c r="E414" s="160"/>
      <c r="F414" s="160"/>
      <c r="G414" s="160"/>
      <c r="H414" s="160"/>
      <c r="I414" s="160"/>
      <c r="J414" s="160"/>
      <c r="K414" s="160"/>
      <c r="L414" s="160"/>
      <c r="M414" s="160"/>
    </row>
    <row r="415" spans="2:13">
      <c r="B415" s="391"/>
      <c r="C415" s="160"/>
      <c r="D415" s="160"/>
      <c r="E415" s="160"/>
      <c r="F415" s="160"/>
      <c r="G415" s="160"/>
      <c r="H415" s="160"/>
      <c r="I415" s="160"/>
      <c r="J415" s="160"/>
      <c r="K415" s="160"/>
      <c r="L415" s="160"/>
      <c r="M415" s="160"/>
    </row>
    <row r="416" spans="2:13">
      <c r="B416" s="391"/>
      <c r="C416" s="160"/>
      <c r="D416" s="160"/>
      <c r="E416" s="160"/>
      <c r="F416" s="160"/>
      <c r="G416" s="160"/>
      <c r="H416" s="160"/>
      <c r="I416" s="160"/>
      <c r="J416" s="160"/>
      <c r="K416" s="160"/>
      <c r="L416" s="160"/>
      <c r="M416" s="160"/>
    </row>
    <row r="417" spans="2:13">
      <c r="B417" s="391"/>
      <c r="C417" s="160"/>
      <c r="D417" s="160"/>
      <c r="E417" s="160"/>
      <c r="F417" s="160"/>
      <c r="G417" s="160"/>
      <c r="H417" s="160"/>
      <c r="I417" s="160"/>
      <c r="J417" s="160"/>
      <c r="K417" s="160"/>
      <c r="L417" s="160"/>
      <c r="M417" s="160"/>
    </row>
    <row r="418" spans="2:13">
      <c r="B418" s="391"/>
      <c r="C418" s="160"/>
      <c r="D418" s="160"/>
      <c r="E418" s="160"/>
      <c r="F418" s="160"/>
      <c r="G418" s="160"/>
      <c r="H418" s="160"/>
      <c r="I418" s="160"/>
      <c r="J418" s="160"/>
      <c r="K418" s="160"/>
      <c r="L418" s="160"/>
      <c r="M418" s="160"/>
    </row>
    <row r="419" spans="2:13">
      <c r="B419" s="391"/>
      <c r="C419" s="160"/>
      <c r="D419" s="160"/>
      <c r="E419" s="160"/>
      <c r="F419" s="160"/>
      <c r="G419" s="160"/>
      <c r="H419" s="160"/>
      <c r="I419" s="160"/>
      <c r="J419" s="160"/>
      <c r="K419" s="160"/>
      <c r="L419" s="160"/>
      <c r="M419" s="160"/>
    </row>
    <row r="420" spans="2:13">
      <c r="B420" s="391"/>
      <c r="C420" s="160"/>
      <c r="D420" s="160"/>
      <c r="E420" s="160"/>
      <c r="F420" s="160"/>
      <c r="G420" s="160"/>
      <c r="H420" s="160"/>
      <c r="I420" s="160"/>
      <c r="J420" s="160"/>
      <c r="K420" s="160"/>
      <c r="L420" s="160"/>
      <c r="M420" s="160"/>
    </row>
    <row r="421" spans="2:13">
      <c r="B421" s="391"/>
      <c r="C421" s="160"/>
      <c r="D421" s="160"/>
      <c r="E421" s="160"/>
      <c r="F421" s="160"/>
      <c r="G421" s="160"/>
      <c r="H421" s="160"/>
      <c r="I421" s="160"/>
      <c r="J421" s="160"/>
      <c r="K421" s="160"/>
      <c r="L421" s="160"/>
      <c r="M421" s="160"/>
    </row>
    <row r="422" spans="2:13">
      <c r="B422" s="391"/>
      <c r="C422" s="160"/>
      <c r="D422" s="160"/>
      <c r="E422" s="160"/>
      <c r="F422" s="160"/>
      <c r="G422" s="160"/>
      <c r="H422" s="160"/>
      <c r="I422" s="160"/>
      <c r="J422" s="160"/>
      <c r="K422" s="160"/>
      <c r="L422" s="160"/>
      <c r="M422" s="160"/>
    </row>
    <row r="423" spans="2:13">
      <c r="B423" s="391"/>
      <c r="C423" s="160"/>
      <c r="D423" s="160"/>
      <c r="E423" s="160"/>
      <c r="F423" s="160"/>
      <c r="G423" s="160"/>
      <c r="H423" s="160"/>
      <c r="I423" s="160"/>
      <c r="J423" s="160"/>
      <c r="K423" s="160"/>
      <c r="L423" s="160"/>
      <c r="M423" s="160"/>
    </row>
    <row r="424" spans="2:13">
      <c r="B424" s="391"/>
      <c r="C424" s="160"/>
      <c r="D424" s="160"/>
      <c r="E424" s="160"/>
      <c r="F424" s="160"/>
      <c r="G424" s="160"/>
      <c r="H424" s="160"/>
      <c r="I424" s="160"/>
      <c r="J424" s="160"/>
      <c r="K424" s="160"/>
      <c r="L424" s="160"/>
      <c r="M424" s="160"/>
    </row>
    <row r="425" spans="2:13">
      <c r="B425" s="391"/>
      <c r="C425" s="160"/>
      <c r="D425" s="160"/>
      <c r="E425" s="160"/>
      <c r="F425" s="160"/>
      <c r="G425" s="160"/>
      <c r="H425" s="160"/>
      <c r="I425" s="160"/>
      <c r="J425" s="160"/>
      <c r="K425" s="160"/>
      <c r="L425" s="160"/>
      <c r="M425" s="160"/>
    </row>
    <row r="426" spans="2:13">
      <c r="B426" s="391"/>
      <c r="C426" s="160"/>
      <c r="D426" s="160"/>
      <c r="E426" s="160"/>
      <c r="F426" s="160"/>
      <c r="G426" s="160"/>
      <c r="H426" s="160"/>
      <c r="I426" s="160"/>
      <c r="J426" s="160"/>
      <c r="K426" s="160"/>
      <c r="L426" s="160"/>
      <c r="M426" s="160"/>
    </row>
    <row r="427" spans="2:13">
      <c r="B427" s="391"/>
      <c r="C427" s="160"/>
      <c r="D427" s="160"/>
      <c r="E427" s="160"/>
      <c r="F427" s="160"/>
      <c r="G427" s="160"/>
      <c r="H427" s="160"/>
      <c r="I427" s="160"/>
      <c r="J427" s="160"/>
      <c r="K427" s="160"/>
      <c r="L427" s="160"/>
      <c r="M427" s="160"/>
    </row>
    <row r="428" spans="2:13">
      <c r="B428" s="391"/>
      <c r="C428" s="160"/>
      <c r="D428" s="160"/>
      <c r="E428" s="160"/>
      <c r="F428" s="160"/>
      <c r="G428" s="160"/>
      <c r="H428" s="160"/>
      <c r="I428" s="160"/>
      <c r="J428" s="160"/>
      <c r="K428" s="160"/>
      <c r="L428" s="160"/>
      <c r="M428" s="160"/>
    </row>
    <row r="429" spans="2:13">
      <c r="B429" s="391"/>
      <c r="C429" s="160"/>
      <c r="D429" s="160"/>
      <c r="E429" s="160"/>
      <c r="F429" s="160"/>
      <c r="G429" s="160"/>
      <c r="H429" s="160"/>
      <c r="I429" s="160"/>
      <c r="J429" s="160"/>
      <c r="K429" s="160"/>
      <c r="L429" s="160"/>
      <c r="M429" s="160"/>
    </row>
    <row r="430" spans="2:13">
      <c r="B430" s="391"/>
      <c r="C430" s="160"/>
      <c r="D430" s="160"/>
      <c r="E430" s="160"/>
      <c r="F430" s="160"/>
      <c r="G430" s="160"/>
      <c r="H430" s="160"/>
      <c r="I430" s="160"/>
      <c r="J430" s="160"/>
      <c r="K430" s="160"/>
      <c r="L430" s="160"/>
      <c r="M430" s="160"/>
    </row>
    <row r="431" spans="2:13">
      <c r="B431" s="391"/>
      <c r="C431" s="160"/>
      <c r="D431" s="160"/>
      <c r="E431" s="160"/>
      <c r="F431" s="160"/>
      <c r="G431" s="160"/>
      <c r="H431" s="160"/>
      <c r="I431" s="160"/>
      <c r="J431" s="160"/>
      <c r="K431" s="160"/>
      <c r="L431" s="160"/>
      <c r="M431" s="160"/>
    </row>
    <row r="432" spans="2:13">
      <c r="B432" s="391"/>
      <c r="C432" s="160"/>
      <c r="D432" s="160"/>
      <c r="E432" s="160"/>
      <c r="F432" s="160"/>
      <c r="G432" s="160"/>
      <c r="H432" s="160"/>
      <c r="I432" s="160"/>
      <c r="J432" s="160"/>
      <c r="K432" s="160"/>
      <c r="L432" s="160"/>
      <c r="M432" s="160"/>
    </row>
    <row r="433" spans="2:13">
      <c r="B433" s="391"/>
      <c r="C433" s="160"/>
      <c r="D433" s="160"/>
      <c r="E433" s="160"/>
      <c r="F433" s="160"/>
      <c r="G433" s="160"/>
      <c r="H433" s="160"/>
      <c r="I433" s="160"/>
      <c r="J433" s="160"/>
      <c r="K433" s="160"/>
      <c r="L433" s="160"/>
      <c r="M433" s="160"/>
    </row>
    <row r="434" spans="2:13">
      <c r="B434" s="391"/>
      <c r="C434" s="160"/>
      <c r="D434" s="160"/>
      <c r="E434" s="160"/>
      <c r="F434" s="160"/>
      <c r="G434" s="160"/>
      <c r="H434" s="160"/>
      <c r="I434" s="160"/>
      <c r="J434" s="160"/>
      <c r="K434" s="160"/>
      <c r="L434" s="160"/>
      <c r="M434" s="160"/>
    </row>
    <row r="435" spans="2:13">
      <c r="B435" s="391"/>
      <c r="C435" s="160"/>
      <c r="D435" s="160"/>
      <c r="E435" s="160"/>
      <c r="F435" s="160"/>
      <c r="G435" s="160"/>
      <c r="H435" s="160"/>
      <c r="I435" s="160"/>
      <c r="J435" s="160"/>
      <c r="K435" s="160"/>
      <c r="L435" s="160"/>
      <c r="M435" s="160"/>
    </row>
    <row r="436" spans="2:13">
      <c r="B436" s="391"/>
      <c r="C436" s="160"/>
      <c r="D436" s="160"/>
      <c r="E436" s="160"/>
      <c r="F436" s="160"/>
      <c r="G436" s="160"/>
      <c r="H436" s="160"/>
      <c r="I436" s="160"/>
      <c r="J436" s="160"/>
      <c r="K436" s="160"/>
      <c r="L436" s="160"/>
      <c r="M436" s="160"/>
    </row>
    <row r="437" spans="2:13">
      <c r="B437" s="391"/>
      <c r="C437" s="160"/>
      <c r="D437" s="160"/>
      <c r="E437" s="160"/>
      <c r="F437" s="160"/>
      <c r="G437" s="160"/>
      <c r="H437" s="160"/>
      <c r="I437" s="160"/>
      <c r="J437" s="160"/>
      <c r="K437" s="160"/>
      <c r="L437" s="160"/>
      <c r="M437" s="160"/>
    </row>
    <row r="438" spans="2:13">
      <c r="B438" s="391"/>
      <c r="C438" s="160"/>
      <c r="D438" s="160"/>
      <c r="E438" s="160"/>
      <c r="F438" s="160"/>
      <c r="G438" s="160"/>
      <c r="H438" s="160"/>
      <c r="I438" s="160"/>
      <c r="J438" s="160"/>
      <c r="K438" s="160"/>
      <c r="L438" s="160"/>
      <c r="M438" s="160"/>
    </row>
    <row r="439" spans="2:13">
      <c r="B439" s="391"/>
      <c r="C439" s="160"/>
      <c r="D439" s="160"/>
      <c r="E439" s="160"/>
      <c r="F439" s="160"/>
      <c r="G439" s="160"/>
      <c r="H439" s="160"/>
      <c r="I439" s="160"/>
      <c r="J439" s="160"/>
      <c r="K439" s="160"/>
      <c r="L439" s="160"/>
      <c r="M439" s="160"/>
    </row>
    <row r="440" spans="2:13">
      <c r="B440" s="391"/>
      <c r="C440" s="160"/>
      <c r="D440" s="160"/>
      <c r="E440" s="160"/>
      <c r="F440" s="160"/>
      <c r="G440" s="160"/>
      <c r="H440" s="160"/>
      <c r="I440" s="160"/>
      <c r="J440" s="160"/>
      <c r="K440" s="160"/>
      <c r="L440" s="160"/>
      <c r="M440" s="160"/>
    </row>
    <row r="441" spans="2:13">
      <c r="B441" s="391"/>
      <c r="C441" s="160"/>
      <c r="D441" s="160"/>
      <c r="E441" s="160"/>
      <c r="F441" s="160"/>
      <c r="G441" s="160"/>
      <c r="H441" s="160"/>
      <c r="I441" s="160"/>
      <c r="J441" s="160"/>
      <c r="K441" s="160"/>
      <c r="L441" s="160"/>
      <c r="M441" s="160"/>
    </row>
    <row r="442" spans="2:13">
      <c r="B442" s="391"/>
      <c r="C442" s="160"/>
      <c r="D442" s="160"/>
      <c r="E442" s="160"/>
      <c r="F442" s="160"/>
      <c r="G442" s="160"/>
      <c r="H442" s="160"/>
      <c r="I442" s="160"/>
      <c r="J442" s="160"/>
      <c r="K442" s="160"/>
      <c r="L442" s="160"/>
      <c r="M442" s="160"/>
    </row>
    <row r="443" spans="2:13">
      <c r="B443" s="391"/>
      <c r="C443" s="160"/>
      <c r="D443" s="160"/>
      <c r="E443" s="160"/>
      <c r="F443" s="160"/>
      <c r="G443" s="160"/>
      <c r="H443" s="160"/>
      <c r="I443" s="160"/>
      <c r="J443" s="160"/>
      <c r="K443" s="160"/>
      <c r="L443" s="160"/>
      <c r="M443" s="160"/>
    </row>
    <row r="444" spans="2:13">
      <c r="B444" s="391"/>
      <c r="C444" s="160"/>
      <c r="D444" s="160"/>
      <c r="E444" s="160"/>
      <c r="F444" s="160"/>
      <c r="G444" s="160"/>
      <c r="H444" s="160"/>
      <c r="I444" s="160"/>
      <c r="J444" s="160"/>
      <c r="K444" s="160"/>
      <c r="L444" s="160"/>
      <c r="M444" s="160"/>
    </row>
    <row r="445" spans="2:13">
      <c r="B445" s="391"/>
      <c r="C445" s="160"/>
      <c r="D445" s="160"/>
      <c r="E445" s="160"/>
      <c r="F445" s="160"/>
      <c r="G445" s="160"/>
      <c r="H445" s="160"/>
      <c r="I445" s="160"/>
      <c r="J445" s="160"/>
      <c r="K445" s="160"/>
      <c r="L445" s="160"/>
      <c r="M445" s="160"/>
    </row>
    <row r="446" spans="2:13">
      <c r="B446" s="391"/>
      <c r="C446" s="160"/>
      <c r="D446" s="160"/>
      <c r="E446" s="160"/>
      <c r="F446" s="160"/>
      <c r="G446" s="160"/>
      <c r="H446" s="160"/>
      <c r="I446" s="160"/>
      <c r="J446" s="160"/>
      <c r="K446" s="160"/>
      <c r="L446" s="160"/>
      <c r="M446" s="160"/>
    </row>
    <row r="447" spans="2:13">
      <c r="B447" s="391"/>
      <c r="C447" s="160"/>
      <c r="D447" s="160"/>
      <c r="E447" s="160"/>
      <c r="F447" s="160"/>
      <c r="G447" s="160"/>
      <c r="H447" s="160"/>
      <c r="I447" s="160"/>
      <c r="J447" s="160"/>
      <c r="K447" s="160"/>
      <c r="L447" s="160"/>
      <c r="M447" s="160"/>
    </row>
    <row r="448" spans="2:13">
      <c r="B448" s="391"/>
      <c r="C448" s="160"/>
      <c r="D448" s="160"/>
      <c r="E448" s="160"/>
      <c r="F448" s="160"/>
      <c r="G448" s="160"/>
      <c r="H448" s="160"/>
      <c r="I448" s="160"/>
      <c r="J448" s="160"/>
      <c r="K448" s="160"/>
      <c r="L448" s="160"/>
      <c r="M448" s="160"/>
    </row>
    <row r="449" spans="2:13">
      <c r="B449" s="391"/>
      <c r="C449" s="160"/>
      <c r="D449" s="160"/>
      <c r="E449" s="160"/>
      <c r="F449" s="160"/>
      <c r="G449" s="160"/>
      <c r="H449" s="160"/>
      <c r="I449" s="160"/>
      <c r="J449" s="160"/>
      <c r="K449" s="160"/>
      <c r="L449" s="160"/>
      <c r="M449" s="160"/>
    </row>
    <row r="450" spans="2:13">
      <c r="B450" s="391"/>
      <c r="C450" s="160"/>
      <c r="D450" s="160"/>
      <c r="E450" s="160"/>
      <c r="F450" s="160"/>
      <c r="G450" s="160"/>
      <c r="H450" s="160"/>
      <c r="I450" s="160"/>
      <c r="J450" s="160"/>
      <c r="K450" s="160"/>
      <c r="L450" s="160"/>
      <c r="M450" s="160"/>
    </row>
    <row r="451" spans="2:13">
      <c r="B451" s="391"/>
      <c r="C451" s="160"/>
      <c r="D451" s="160"/>
      <c r="E451" s="160"/>
      <c r="F451" s="160"/>
      <c r="G451" s="160"/>
      <c r="H451" s="160"/>
      <c r="I451" s="160"/>
      <c r="J451" s="160"/>
      <c r="K451" s="160"/>
      <c r="L451" s="160"/>
      <c r="M451" s="160"/>
    </row>
    <row r="452" spans="2:13">
      <c r="B452" s="391"/>
      <c r="C452" s="160"/>
      <c r="D452" s="160"/>
      <c r="E452" s="160"/>
      <c r="F452" s="160"/>
      <c r="G452" s="160"/>
      <c r="H452" s="160"/>
      <c r="I452" s="160"/>
      <c r="J452" s="160"/>
      <c r="K452" s="160"/>
      <c r="L452" s="160"/>
      <c r="M452" s="160"/>
    </row>
    <row r="453" spans="2:13">
      <c r="B453" s="391"/>
      <c r="C453" s="160"/>
      <c r="D453" s="160"/>
      <c r="E453" s="160"/>
      <c r="F453" s="160"/>
      <c r="G453" s="160"/>
      <c r="H453" s="160"/>
      <c r="I453" s="160"/>
      <c r="J453" s="160"/>
      <c r="K453" s="160"/>
      <c r="L453" s="160"/>
      <c r="M453" s="160"/>
    </row>
    <row r="454" spans="2:13">
      <c r="B454" s="391"/>
      <c r="C454" s="160"/>
      <c r="D454" s="160"/>
      <c r="E454" s="160"/>
      <c r="F454" s="160"/>
      <c r="G454" s="160"/>
      <c r="H454" s="160"/>
      <c r="I454" s="160"/>
      <c r="J454" s="160"/>
      <c r="K454" s="160"/>
      <c r="L454" s="160"/>
      <c r="M454" s="160"/>
    </row>
    <row r="455" spans="2:13">
      <c r="B455" s="391"/>
      <c r="C455" s="160"/>
      <c r="D455" s="160"/>
      <c r="E455" s="160"/>
      <c r="F455" s="160"/>
      <c r="G455" s="160"/>
      <c r="H455" s="160"/>
      <c r="I455" s="160"/>
      <c r="J455" s="160"/>
      <c r="K455" s="160"/>
      <c r="L455" s="160"/>
      <c r="M455" s="160"/>
    </row>
    <row r="456" spans="2:13">
      <c r="B456" s="391"/>
      <c r="C456" s="160"/>
      <c r="D456" s="160"/>
      <c r="E456" s="160"/>
      <c r="F456" s="160"/>
      <c r="G456" s="160"/>
      <c r="H456" s="160"/>
      <c r="I456" s="160"/>
      <c r="J456" s="160"/>
      <c r="K456" s="160"/>
      <c r="L456" s="160"/>
      <c r="M456" s="160"/>
    </row>
    <row r="457" spans="2:13">
      <c r="B457" s="391"/>
      <c r="C457" s="160"/>
      <c r="D457" s="160"/>
      <c r="E457" s="160"/>
      <c r="F457" s="160"/>
      <c r="G457" s="160"/>
      <c r="H457" s="160"/>
      <c r="I457" s="160"/>
      <c r="J457" s="160"/>
      <c r="K457" s="160"/>
      <c r="L457" s="160"/>
      <c r="M457" s="160"/>
    </row>
    <row r="458" spans="2:13">
      <c r="B458" s="391"/>
      <c r="C458" s="160"/>
      <c r="D458" s="160"/>
      <c r="E458" s="160"/>
      <c r="F458" s="160"/>
      <c r="G458" s="160"/>
      <c r="H458" s="160"/>
      <c r="I458" s="160"/>
      <c r="J458" s="160"/>
      <c r="K458" s="160"/>
      <c r="L458" s="160"/>
      <c r="M458" s="160"/>
    </row>
    <row r="459" spans="2:13">
      <c r="B459" s="391"/>
      <c r="C459" s="160"/>
      <c r="D459" s="160"/>
      <c r="E459" s="160"/>
      <c r="F459" s="160"/>
      <c r="G459" s="160"/>
      <c r="H459" s="160"/>
      <c r="I459" s="160"/>
      <c r="J459" s="160"/>
      <c r="K459" s="160"/>
      <c r="L459" s="160"/>
      <c r="M459" s="160"/>
    </row>
    <row r="460" spans="2:13">
      <c r="B460" s="391"/>
      <c r="C460" s="160"/>
      <c r="D460" s="160"/>
      <c r="E460" s="160"/>
      <c r="F460" s="160"/>
      <c r="G460" s="160"/>
      <c r="H460" s="160"/>
      <c r="I460" s="160"/>
      <c r="J460" s="160"/>
      <c r="K460" s="160"/>
      <c r="L460" s="160"/>
      <c r="M460" s="160"/>
    </row>
    <row r="461" spans="2:13">
      <c r="B461" s="391"/>
      <c r="C461" s="160"/>
      <c r="D461" s="160"/>
      <c r="E461" s="160"/>
      <c r="F461" s="160"/>
      <c r="G461" s="160"/>
      <c r="H461" s="160"/>
      <c r="I461" s="160"/>
      <c r="J461" s="160"/>
      <c r="K461" s="160"/>
      <c r="L461" s="160"/>
      <c r="M461" s="160"/>
    </row>
    <row r="462" spans="2:13">
      <c r="B462" s="391"/>
      <c r="C462" s="160"/>
      <c r="D462" s="160"/>
      <c r="E462" s="160"/>
      <c r="F462" s="160"/>
      <c r="G462" s="160"/>
      <c r="H462" s="160"/>
      <c r="I462" s="160"/>
      <c r="J462" s="160"/>
      <c r="K462" s="160"/>
      <c r="L462" s="160"/>
      <c r="M462" s="160"/>
    </row>
    <row r="463" spans="2:13">
      <c r="B463" s="391"/>
      <c r="C463" s="160"/>
      <c r="D463" s="160"/>
      <c r="E463" s="160"/>
      <c r="F463" s="160"/>
      <c r="G463" s="160"/>
      <c r="H463" s="160"/>
      <c r="I463" s="160"/>
      <c r="J463" s="160"/>
      <c r="K463" s="160"/>
      <c r="L463" s="160"/>
      <c r="M463" s="160"/>
    </row>
    <row r="464" spans="2:13">
      <c r="B464" s="391"/>
      <c r="C464" s="160"/>
      <c r="D464" s="160"/>
      <c r="E464" s="160"/>
      <c r="F464" s="160"/>
      <c r="G464" s="160"/>
      <c r="H464" s="160"/>
      <c r="I464" s="160"/>
      <c r="J464" s="160"/>
      <c r="K464" s="160"/>
      <c r="L464" s="160"/>
      <c r="M464" s="160"/>
    </row>
    <row r="465" spans="2:13">
      <c r="B465" s="391"/>
      <c r="C465" s="160"/>
      <c r="D465" s="160"/>
      <c r="E465" s="160"/>
      <c r="F465" s="160"/>
      <c r="G465" s="160"/>
      <c r="H465" s="160"/>
      <c r="I465" s="160"/>
      <c r="J465" s="160"/>
      <c r="K465" s="160"/>
      <c r="L465" s="160"/>
      <c r="M465" s="160"/>
    </row>
    <row r="466" spans="2:13">
      <c r="B466" s="391"/>
      <c r="C466" s="160"/>
      <c r="D466" s="160"/>
      <c r="E466" s="160"/>
      <c r="F466" s="160"/>
      <c r="G466" s="160"/>
      <c r="H466" s="160"/>
      <c r="I466" s="160"/>
      <c r="J466" s="160"/>
      <c r="K466" s="160"/>
      <c r="L466" s="160"/>
      <c r="M466" s="160"/>
    </row>
    <row r="467" spans="2:13">
      <c r="B467" s="391"/>
      <c r="C467" s="160"/>
      <c r="D467" s="160"/>
      <c r="E467" s="160"/>
      <c r="F467" s="160"/>
      <c r="G467" s="160"/>
      <c r="H467" s="160"/>
      <c r="I467" s="160"/>
      <c r="J467" s="160"/>
      <c r="K467" s="160"/>
      <c r="L467" s="160"/>
      <c r="M467" s="160"/>
    </row>
    <row r="468" spans="2:13">
      <c r="B468" s="391"/>
      <c r="C468" s="160"/>
      <c r="D468" s="160"/>
      <c r="E468" s="160"/>
      <c r="F468" s="160"/>
      <c r="G468" s="160"/>
      <c r="H468" s="160"/>
      <c r="I468" s="160"/>
      <c r="J468" s="160"/>
      <c r="K468" s="160"/>
      <c r="L468" s="160"/>
      <c r="M468" s="160"/>
    </row>
    <row r="469" spans="2:13">
      <c r="B469" s="391"/>
      <c r="C469" s="160"/>
      <c r="D469" s="160"/>
      <c r="E469" s="160"/>
      <c r="F469" s="160"/>
      <c r="G469" s="160"/>
      <c r="H469" s="160"/>
      <c r="I469" s="160"/>
      <c r="J469" s="160"/>
      <c r="K469" s="160"/>
      <c r="L469" s="160"/>
      <c r="M469" s="160"/>
    </row>
    <row r="470" spans="2:13">
      <c r="B470" s="391"/>
      <c r="C470" s="160"/>
      <c r="D470" s="160"/>
      <c r="E470" s="160"/>
      <c r="F470" s="160"/>
      <c r="G470" s="160"/>
      <c r="H470" s="160"/>
      <c r="I470" s="160"/>
      <c r="J470" s="160"/>
      <c r="K470" s="160"/>
      <c r="L470" s="160"/>
      <c r="M470" s="160"/>
    </row>
    <row r="471" spans="2:13">
      <c r="B471" s="391"/>
      <c r="C471" s="160"/>
      <c r="D471" s="160"/>
      <c r="E471" s="160"/>
      <c r="F471" s="160"/>
      <c r="G471" s="160"/>
      <c r="H471" s="160"/>
      <c r="I471" s="160"/>
      <c r="J471" s="160"/>
      <c r="K471" s="160"/>
      <c r="L471" s="160"/>
      <c r="M471" s="160"/>
    </row>
    <row r="472" spans="2:13">
      <c r="B472" s="391"/>
      <c r="C472" s="160"/>
      <c r="D472" s="160"/>
      <c r="E472" s="160"/>
      <c r="F472" s="160"/>
      <c r="G472" s="160"/>
      <c r="H472" s="160"/>
      <c r="I472" s="160"/>
      <c r="J472" s="160"/>
      <c r="K472" s="160"/>
      <c r="L472" s="160"/>
      <c r="M472" s="160"/>
    </row>
    <row r="473" spans="2:13">
      <c r="B473" s="391"/>
      <c r="C473" s="160"/>
      <c r="D473" s="160"/>
      <c r="E473" s="160"/>
      <c r="F473" s="160"/>
      <c r="G473" s="160"/>
      <c r="H473" s="160"/>
      <c r="I473" s="160"/>
      <c r="J473" s="160"/>
      <c r="K473" s="160"/>
      <c r="L473" s="160"/>
      <c r="M473" s="160"/>
    </row>
    <row r="474" spans="2:13">
      <c r="B474" s="391"/>
      <c r="C474" s="160"/>
      <c r="D474" s="160"/>
      <c r="E474" s="160"/>
      <c r="F474" s="160"/>
      <c r="G474" s="160"/>
      <c r="H474" s="160"/>
      <c r="I474" s="160"/>
      <c r="J474" s="160"/>
      <c r="K474" s="160"/>
      <c r="L474" s="160"/>
      <c r="M474" s="160"/>
    </row>
    <row r="475" spans="2:13">
      <c r="B475" s="391"/>
      <c r="C475" s="160"/>
      <c r="D475" s="160"/>
      <c r="E475" s="160"/>
      <c r="F475" s="160"/>
      <c r="G475" s="160"/>
      <c r="H475" s="160"/>
      <c r="I475" s="160"/>
      <c r="J475" s="160"/>
      <c r="K475" s="160"/>
      <c r="L475" s="160"/>
      <c r="M475" s="160"/>
    </row>
    <row r="476" spans="2:13">
      <c r="B476" s="391"/>
      <c r="C476" s="160"/>
      <c r="D476" s="160"/>
      <c r="E476" s="160"/>
      <c r="F476" s="160"/>
      <c r="G476" s="160"/>
      <c r="H476" s="160"/>
      <c r="I476" s="160"/>
      <c r="J476" s="160"/>
      <c r="K476" s="160"/>
      <c r="L476" s="160"/>
      <c r="M476" s="160"/>
    </row>
    <row r="477" spans="2:13">
      <c r="B477" s="391"/>
      <c r="C477" s="160"/>
      <c r="D477" s="160"/>
      <c r="E477" s="160"/>
      <c r="F477" s="160"/>
      <c r="G477" s="160"/>
      <c r="H477" s="160"/>
      <c r="I477" s="160"/>
      <c r="J477" s="160"/>
      <c r="K477" s="160"/>
      <c r="L477" s="160"/>
      <c r="M477" s="160"/>
    </row>
    <row r="478" spans="2:13">
      <c r="B478" s="391"/>
      <c r="C478" s="160"/>
      <c r="D478" s="160"/>
      <c r="E478" s="160"/>
      <c r="F478" s="160"/>
      <c r="G478" s="160"/>
      <c r="H478" s="160"/>
      <c r="I478" s="160"/>
      <c r="J478" s="160"/>
      <c r="K478" s="160"/>
      <c r="L478" s="160"/>
      <c r="M478" s="160"/>
    </row>
    <row r="479" spans="2:13">
      <c r="B479" s="391"/>
      <c r="C479" s="160"/>
      <c r="D479" s="160"/>
      <c r="E479" s="160"/>
      <c r="F479" s="160"/>
      <c r="G479" s="160"/>
      <c r="H479" s="160"/>
      <c r="I479" s="160"/>
      <c r="J479" s="160"/>
      <c r="K479" s="160"/>
      <c r="L479" s="160"/>
      <c r="M479" s="160"/>
    </row>
    <row r="480" spans="2:13">
      <c r="B480" s="391"/>
      <c r="C480" s="160"/>
      <c r="D480" s="160"/>
      <c r="E480" s="160"/>
      <c r="F480" s="160"/>
      <c r="G480" s="160"/>
      <c r="H480" s="160"/>
      <c r="I480" s="160"/>
      <c r="J480" s="160"/>
      <c r="K480" s="160"/>
      <c r="L480" s="160"/>
      <c r="M480" s="160"/>
    </row>
    <row r="481" spans="2:13">
      <c r="B481" s="391"/>
      <c r="C481" s="160"/>
      <c r="D481" s="160"/>
      <c r="E481" s="160"/>
      <c r="F481" s="160"/>
      <c r="G481" s="160"/>
      <c r="H481" s="160"/>
      <c r="I481" s="160"/>
      <c r="J481" s="160"/>
      <c r="K481" s="160"/>
      <c r="L481" s="160"/>
      <c r="M481" s="160"/>
    </row>
    <row r="482" spans="2:13">
      <c r="B482" s="391"/>
      <c r="C482" s="160"/>
      <c r="D482" s="160"/>
      <c r="E482" s="160"/>
      <c r="F482" s="160"/>
      <c r="G482" s="160"/>
      <c r="H482" s="160"/>
      <c r="I482" s="160"/>
      <c r="J482" s="160"/>
      <c r="K482" s="160"/>
      <c r="L482" s="160"/>
      <c r="M482" s="160"/>
    </row>
    <row r="483" spans="2:13">
      <c r="B483" s="391"/>
      <c r="C483" s="160"/>
      <c r="D483" s="160"/>
      <c r="E483" s="160"/>
      <c r="F483" s="160"/>
      <c r="G483" s="160"/>
      <c r="H483" s="160"/>
      <c r="I483" s="160"/>
      <c r="J483" s="160"/>
      <c r="K483" s="160"/>
      <c r="L483" s="160"/>
      <c r="M483" s="160"/>
    </row>
    <row r="484" spans="2:13">
      <c r="B484" s="391"/>
      <c r="C484" s="160"/>
      <c r="D484" s="160"/>
      <c r="E484" s="160"/>
      <c r="F484" s="160"/>
      <c r="G484" s="160"/>
      <c r="H484" s="160"/>
      <c r="I484" s="160"/>
      <c r="J484" s="160"/>
      <c r="K484" s="160"/>
      <c r="L484" s="160"/>
      <c r="M484" s="160"/>
    </row>
    <row r="485" spans="2:13">
      <c r="B485" s="391"/>
      <c r="C485" s="160"/>
      <c r="D485" s="160"/>
      <c r="E485" s="160"/>
      <c r="F485" s="160"/>
      <c r="G485" s="160"/>
      <c r="H485" s="160"/>
      <c r="I485" s="160"/>
      <c r="J485" s="160"/>
      <c r="K485" s="160"/>
      <c r="L485" s="160"/>
      <c r="M485" s="160"/>
    </row>
    <row r="486" spans="2:13">
      <c r="B486" s="391"/>
      <c r="C486" s="160"/>
      <c r="D486" s="160"/>
      <c r="E486" s="160"/>
      <c r="F486" s="160"/>
      <c r="G486" s="160"/>
      <c r="H486" s="160"/>
      <c r="I486" s="160"/>
      <c r="J486" s="160"/>
      <c r="K486" s="160"/>
      <c r="L486" s="160"/>
      <c r="M486" s="160"/>
    </row>
    <row r="487" spans="2:13">
      <c r="B487" s="391"/>
      <c r="C487" s="160"/>
      <c r="D487" s="160"/>
      <c r="E487" s="160"/>
      <c r="F487" s="160"/>
      <c r="G487" s="160"/>
      <c r="H487" s="160"/>
      <c r="I487" s="160"/>
      <c r="J487" s="160"/>
      <c r="K487" s="160"/>
      <c r="L487" s="160"/>
      <c r="M487" s="160"/>
    </row>
    <row r="488" spans="2:13">
      <c r="B488" s="391"/>
      <c r="C488" s="160"/>
      <c r="D488" s="160"/>
      <c r="E488" s="160"/>
      <c r="F488" s="160"/>
      <c r="G488" s="160"/>
      <c r="H488" s="160"/>
      <c r="I488" s="160"/>
      <c r="J488" s="160"/>
      <c r="K488" s="160"/>
      <c r="L488" s="160"/>
      <c r="M488" s="160"/>
    </row>
    <row r="489" spans="2:13">
      <c r="B489" s="391"/>
      <c r="C489" s="160"/>
      <c r="D489" s="160"/>
      <c r="E489" s="160"/>
      <c r="F489" s="160"/>
      <c r="G489" s="160"/>
      <c r="H489" s="160"/>
      <c r="I489" s="160"/>
      <c r="J489" s="160"/>
      <c r="K489" s="160"/>
      <c r="L489" s="160"/>
      <c r="M489" s="160"/>
    </row>
    <row r="490" spans="2:13">
      <c r="B490" s="391"/>
      <c r="C490" s="160"/>
      <c r="D490" s="160"/>
      <c r="E490" s="160"/>
      <c r="F490" s="160"/>
      <c r="G490" s="160"/>
      <c r="H490" s="160"/>
      <c r="I490" s="160"/>
      <c r="J490" s="160"/>
      <c r="K490" s="160"/>
      <c r="L490" s="160"/>
      <c r="M490" s="160"/>
    </row>
    <row r="491" spans="2:13">
      <c r="B491" s="391"/>
      <c r="C491" s="160"/>
      <c r="D491" s="160"/>
      <c r="E491" s="160"/>
      <c r="F491" s="160"/>
      <c r="G491" s="160"/>
      <c r="H491" s="160"/>
      <c r="I491" s="160"/>
      <c r="J491" s="160"/>
      <c r="K491" s="160"/>
      <c r="L491" s="160"/>
      <c r="M491" s="160"/>
    </row>
    <row r="492" spans="2:13">
      <c r="B492" s="391"/>
      <c r="C492" s="160"/>
      <c r="D492" s="160"/>
      <c r="E492" s="160"/>
      <c r="F492" s="160"/>
      <c r="G492" s="160"/>
      <c r="H492" s="160"/>
      <c r="I492" s="160"/>
      <c r="J492" s="160"/>
      <c r="K492" s="160"/>
      <c r="L492" s="160"/>
      <c r="M492" s="160"/>
    </row>
    <row r="493" spans="2:13">
      <c r="B493" s="391"/>
      <c r="C493" s="160"/>
      <c r="D493" s="160"/>
      <c r="E493" s="160"/>
      <c r="F493" s="160"/>
      <c r="G493" s="160"/>
      <c r="H493" s="160"/>
      <c r="I493" s="160"/>
      <c r="J493" s="160"/>
      <c r="K493" s="160"/>
      <c r="L493" s="160"/>
      <c r="M493" s="160"/>
    </row>
    <row r="494" spans="2:13">
      <c r="B494" s="391"/>
      <c r="C494" s="160"/>
      <c r="D494" s="160"/>
      <c r="E494" s="160"/>
      <c r="F494" s="160"/>
      <c r="G494" s="160"/>
      <c r="H494" s="160"/>
      <c r="I494" s="160"/>
      <c r="J494" s="160"/>
      <c r="K494" s="160"/>
      <c r="L494" s="160"/>
      <c r="M494" s="160"/>
    </row>
    <row r="495" spans="2:13">
      <c r="B495" s="391"/>
      <c r="C495" s="160"/>
      <c r="D495" s="160"/>
      <c r="E495" s="160"/>
      <c r="F495" s="160"/>
      <c r="G495" s="160"/>
      <c r="H495" s="160"/>
      <c r="I495" s="160"/>
      <c r="J495" s="160"/>
      <c r="K495" s="160"/>
      <c r="L495" s="160"/>
      <c r="M495" s="160"/>
    </row>
    <row r="496" spans="2:13">
      <c r="B496" s="391"/>
      <c r="C496" s="160"/>
      <c r="D496" s="160"/>
      <c r="E496" s="160"/>
      <c r="F496" s="160"/>
      <c r="G496" s="160"/>
      <c r="H496" s="160"/>
      <c r="I496" s="160"/>
      <c r="J496" s="160"/>
      <c r="K496" s="160"/>
      <c r="L496" s="160"/>
      <c r="M496" s="160"/>
    </row>
    <row r="497" spans="2:13">
      <c r="B497" s="391"/>
      <c r="C497" s="160"/>
      <c r="D497" s="160"/>
      <c r="E497" s="160"/>
      <c r="F497" s="160"/>
      <c r="G497" s="160"/>
      <c r="H497" s="160"/>
      <c r="I497" s="160"/>
      <c r="J497" s="160"/>
      <c r="K497" s="160"/>
      <c r="L497" s="160"/>
      <c r="M497" s="160"/>
    </row>
    <row r="498" spans="2:13">
      <c r="B498" s="391"/>
      <c r="C498" s="160"/>
      <c r="D498" s="160"/>
      <c r="E498" s="160"/>
      <c r="F498" s="160"/>
      <c r="G498" s="160"/>
      <c r="H498" s="160"/>
      <c r="I498" s="160"/>
      <c r="J498" s="160"/>
      <c r="K498" s="160"/>
      <c r="L498" s="160"/>
      <c r="M498" s="160"/>
    </row>
    <row r="499" spans="2:13">
      <c r="B499" s="391"/>
      <c r="C499" s="160"/>
      <c r="D499" s="160"/>
      <c r="E499" s="160"/>
      <c r="F499" s="160"/>
      <c r="G499" s="160"/>
      <c r="H499" s="160"/>
      <c r="I499" s="160"/>
      <c r="J499" s="160"/>
      <c r="K499" s="160"/>
      <c r="L499" s="160"/>
      <c r="M499" s="160"/>
    </row>
    <row r="500" spans="2:13">
      <c r="B500" s="391"/>
      <c r="C500" s="160"/>
      <c r="D500" s="160"/>
      <c r="E500" s="160"/>
      <c r="F500" s="160"/>
      <c r="G500" s="160"/>
      <c r="H500" s="160"/>
      <c r="I500" s="160"/>
      <c r="J500" s="160"/>
      <c r="K500" s="160"/>
      <c r="L500" s="160"/>
      <c r="M500" s="160"/>
    </row>
    <row r="501" spans="2:13">
      <c r="B501" s="391"/>
      <c r="C501" s="160"/>
      <c r="D501" s="160"/>
      <c r="E501" s="160"/>
      <c r="F501" s="160"/>
      <c r="G501" s="160"/>
      <c r="H501" s="160"/>
      <c r="I501" s="160"/>
      <c r="J501" s="160"/>
      <c r="K501" s="160"/>
      <c r="L501" s="160"/>
      <c r="M501" s="160"/>
    </row>
    <row r="502" spans="2:13">
      <c r="B502" s="391"/>
      <c r="C502" s="160"/>
      <c r="D502" s="160"/>
      <c r="E502" s="160"/>
      <c r="F502" s="160"/>
      <c r="G502" s="160"/>
      <c r="H502" s="160"/>
      <c r="I502" s="160"/>
      <c r="J502" s="160"/>
      <c r="K502" s="160"/>
      <c r="L502" s="160"/>
      <c r="M502" s="160"/>
    </row>
    <row r="503" spans="2:13">
      <c r="B503" s="391"/>
      <c r="C503" s="160"/>
      <c r="D503" s="160"/>
      <c r="E503" s="160"/>
      <c r="F503" s="160"/>
      <c r="G503" s="160"/>
      <c r="H503" s="160"/>
      <c r="I503" s="160"/>
      <c r="J503" s="160"/>
      <c r="K503" s="160"/>
      <c r="L503" s="160"/>
      <c r="M503" s="160"/>
    </row>
    <row r="504" spans="2:13">
      <c r="B504" s="391"/>
      <c r="C504" s="160"/>
      <c r="D504" s="160"/>
      <c r="E504" s="160"/>
      <c r="F504" s="160"/>
      <c r="G504" s="160"/>
      <c r="H504" s="160"/>
      <c r="I504" s="160"/>
      <c r="J504" s="160"/>
      <c r="K504" s="160"/>
      <c r="L504" s="160"/>
      <c r="M504" s="160"/>
    </row>
    <row r="505" spans="2:13">
      <c r="B505" s="391"/>
      <c r="C505" s="160"/>
      <c r="D505" s="160"/>
      <c r="E505" s="160"/>
      <c r="F505" s="160"/>
      <c r="G505" s="160"/>
      <c r="H505" s="160"/>
      <c r="I505" s="160"/>
      <c r="J505" s="160"/>
      <c r="K505" s="160"/>
      <c r="L505" s="160"/>
      <c r="M505" s="160"/>
    </row>
    <row r="506" spans="2:13">
      <c r="B506" s="391"/>
      <c r="C506" s="160"/>
      <c r="D506" s="160"/>
      <c r="E506" s="160"/>
      <c r="F506" s="160"/>
      <c r="G506" s="160"/>
      <c r="H506" s="160"/>
      <c r="I506" s="160"/>
      <c r="J506" s="160"/>
      <c r="K506" s="160"/>
      <c r="L506" s="160"/>
      <c r="M506" s="160"/>
    </row>
    <row r="507" spans="2:13">
      <c r="B507" s="391"/>
      <c r="C507" s="160"/>
      <c r="D507" s="160"/>
      <c r="E507" s="160"/>
      <c r="F507" s="160"/>
      <c r="G507" s="160"/>
      <c r="H507" s="160"/>
      <c r="I507" s="160"/>
      <c r="J507" s="160"/>
      <c r="K507" s="160"/>
      <c r="L507" s="160"/>
      <c r="M507" s="160"/>
    </row>
    <row r="508" spans="2:13">
      <c r="B508" s="391"/>
      <c r="C508" s="160"/>
      <c r="D508" s="160"/>
      <c r="E508" s="160"/>
      <c r="F508" s="160"/>
      <c r="G508" s="160"/>
      <c r="H508" s="160"/>
      <c r="I508" s="160"/>
      <c r="J508" s="160"/>
      <c r="K508" s="160"/>
      <c r="L508" s="160"/>
      <c r="M508" s="160"/>
    </row>
    <row r="509" spans="2:13">
      <c r="B509" s="391"/>
      <c r="C509" s="160"/>
      <c r="D509" s="160"/>
      <c r="E509" s="160"/>
      <c r="F509" s="160"/>
      <c r="G509" s="160"/>
      <c r="H509" s="160"/>
      <c r="I509" s="160"/>
      <c r="J509" s="160"/>
      <c r="K509" s="160"/>
      <c r="L509" s="160"/>
      <c r="M509" s="160"/>
    </row>
    <row r="510" spans="2:13">
      <c r="B510" s="391"/>
      <c r="C510" s="160"/>
      <c r="D510" s="160"/>
      <c r="E510" s="160"/>
      <c r="F510" s="160"/>
      <c r="G510" s="160"/>
      <c r="H510" s="160"/>
      <c r="I510" s="160"/>
      <c r="J510" s="160"/>
      <c r="K510" s="160"/>
      <c r="L510" s="160"/>
      <c r="M510" s="160"/>
    </row>
    <row r="511" spans="2:13">
      <c r="B511" s="391"/>
      <c r="C511" s="160"/>
      <c r="D511" s="160"/>
      <c r="E511" s="160"/>
      <c r="F511" s="160"/>
      <c r="G511" s="160"/>
      <c r="H511" s="160"/>
      <c r="I511" s="160"/>
      <c r="J511" s="160"/>
      <c r="K511" s="160"/>
      <c r="L511" s="160"/>
      <c r="M511" s="160"/>
    </row>
    <row r="512" spans="2:13">
      <c r="B512" s="391"/>
      <c r="C512" s="160"/>
      <c r="D512" s="160"/>
      <c r="E512" s="160"/>
      <c r="F512" s="160"/>
      <c r="G512" s="160"/>
      <c r="H512" s="160"/>
      <c r="I512" s="160"/>
      <c r="J512" s="160"/>
      <c r="K512" s="160"/>
      <c r="L512" s="160"/>
      <c r="M512" s="160"/>
    </row>
    <row r="513" spans="2:13">
      <c r="B513" s="391"/>
      <c r="C513" s="160"/>
      <c r="D513" s="160"/>
      <c r="E513" s="160"/>
      <c r="F513" s="160"/>
      <c r="G513" s="160"/>
      <c r="H513" s="160"/>
      <c r="I513" s="160"/>
      <c r="J513" s="160"/>
      <c r="K513" s="160"/>
      <c r="L513" s="160"/>
      <c r="M513" s="160"/>
    </row>
    <row r="514" spans="2:13">
      <c r="B514" s="391"/>
      <c r="C514" s="160"/>
      <c r="D514" s="160"/>
      <c r="E514" s="160"/>
      <c r="F514" s="160"/>
      <c r="G514" s="160"/>
      <c r="H514" s="160"/>
      <c r="I514" s="160"/>
      <c r="J514" s="160"/>
      <c r="K514" s="160"/>
      <c r="L514" s="160"/>
      <c r="M514" s="160"/>
    </row>
    <row r="515" spans="2:13">
      <c r="B515" s="391"/>
      <c r="C515" s="160"/>
      <c r="D515" s="160"/>
      <c r="E515" s="160"/>
      <c r="F515" s="160"/>
      <c r="G515" s="160"/>
      <c r="H515" s="160"/>
      <c r="I515" s="160"/>
      <c r="J515" s="160"/>
      <c r="K515" s="160"/>
      <c r="L515" s="160"/>
      <c r="M515" s="160"/>
    </row>
    <row r="516" spans="2:13">
      <c r="B516" s="391"/>
      <c r="C516" s="160"/>
      <c r="D516" s="160"/>
      <c r="E516" s="160"/>
      <c r="F516" s="160"/>
      <c r="G516" s="160"/>
      <c r="H516" s="160"/>
      <c r="I516" s="160"/>
      <c r="J516" s="160"/>
      <c r="K516" s="160"/>
      <c r="L516" s="160"/>
      <c r="M516" s="160"/>
    </row>
    <row r="517" spans="2:13">
      <c r="B517" s="391"/>
      <c r="C517" s="160"/>
      <c r="D517" s="160"/>
      <c r="E517" s="160"/>
      <c r="F517" s="160"/>
      <c r="G517" s="160"/>
      <c r="H517" s="160"/>
      <c r="I517" s="160"/>
      <c r="J517" s="160"/>
      <c r="K517" s="160"/>
      <c r="L517" s="160"/>
      <c r="M517" s="160"/>
    </row>
    <row r="518" spans="2:13">
      <c r="B518" s="391"/>
      <c r="C518" s="160"/>
      <c r="D518" s="160"/>
      <c r="E518" s="160"/>
      <c r="F518" s="160"/>
      <c r="G518" s="160"/>
      <c r="H518" s="160"/>
      <c r="I518" s="160"/>
      <c r="J518" s="160"/>
      <c r="K518" s="160"/>
      <c r="L518" s="160"/>
      <c r="M518" s="160"/>
    </row>
    <row r="519" spans="2:13">
      <c r="B519" s="391"/>
      <c r="C519" s="160"/>
      <c r="D519" s="160"/>
      <c r="E519" s="160"/>
      <c r="F519" s="160"/>
      <c r="G519" s="160"/>
      <c r="H519" s="160"/>
      <c r="I519" s="160"/>
      <c r="J519" s="160"/>
      <c r="K519" s="160"/>
      <c r="L519" s="160"/>
      <c r="M519" s="160"/>
    </row>
    <row r="520" spans="2:13">
      <c r="B520" s="391"/>
      <c r="C520" s="160"/>
      <c r="D520" s="160"/>
      <c r="E520" s="160"/>
      <c r="F520" s="160"/>
      <c r="G520" s="160"/>
      <c r="H520" s="160"/>
      <c r="I520" s="160"/>
      <c r="J520" s="160"/>
      <c r="K520" s="160"/>
      <c r="L520" s="160"/>
      <c r="M520" s="160"/>
    </row>
    <row r="521" spans="2:13">
      <c r="B521" s="391"/>
      <c r="C521" s="160"/>
      <c r="D521" s="160"/>
      <c r="E521" s="160"/>
      <c r="F521" s="160"/>
      <c r="G521" s="160"/>
      <c r="H521" s="160"/>
      <c r="I521" s="160"/>
      <c r="J521" s="160"/>
      <c r="K521" s="160"/>
      <c r="L521" s="160"/>
      <c r="M521" s="160"/>
    </row>
    <row r="522" spans="2:13">
      <c r="B522" s="391"/>
      <c r="C522" s="160"/>
      <c r="D522" s="160"/>
      <c r="E522" s="160"/>
      <c r="F522" s="160"/>
      <c r="G522" s="160"/>
      <c r="H522" s="160"/>
      <c r="I522" s="160"/>
      <c r="J522" s="160"/>
      <c r="K522" s="160"/>
      <c r="L522" s="160"/>
      <c r="M522" s="160"/>
    </row>
    <row r="523" spans="2:13">
      <c r="B523" s="391"/>
      <c r="C523" s="160"/>
      <c r="D523" s="160"/>
      <c r="E523" s="160"/>
      <c r="F523" s="160"/>
      <c r="G523" s="160"/>
      <c r="H523" s="160"/>
      <c r="I523" s="160"/>
      <c r="J523" s="160"/>
      <c r="K523" s="160"/>
      <c r="L523" s="160"/>
      <c r="M523" s="160"/>
    </row>
    <row r="524" spans="2:13">
      <c r="B524" s="391"/>
      <c r="C524" s="160"/>
      <c r="D524" s="160"/>
      <c r="E524" s="160"/>
      <c r="F524" s="160"/>
      <c r="G524" s="160"/>
      <c r="H524" s="160"/>
      <c r="I524" s="160"/>
      <c r="J524" s="160"/>
      <c r="K524" s="160"/>
      <c r="L524" s="160"/>
      <c r="M524" s="160"/>
    </row>
    <row r="525" spans="2:13">
      <c r="B525" s="391"/>
      <c r="C525" s="160"/>
      <c r="D525" s="160"/>
      <c r="E525" s="160"/>
      <c r="F525" s="160"/>
      <c r="G525" s="160"/>
      <c r="H525" s="160"/>
      <c r="I525" s="160"/>
      <c r="J525" s="160"/>
      <c r="K525" s="160"/>
      <c r="L525" s="160"/>
      <c r="M525" s="160"/>
    </row>
    <row r="526" spans="2:13">
      <c r="B526" s="391"/>
      <c r="C526" s="160"/>
      <c r="D526" s="160"/>
      <c r="E526" s="160"/>
      <c r="F526" s="160"/>
      <c r="G526" s="160"/>
      <c r="H526" s="160"/>
      <c r="I526" s="160"/>
      <c r="J526" s="160"/>
      <c r="K526" s="160"/>
      <c r="L526" s="160"/>
      <c r="M526" s="160"/>
    </row>
    <row r="527" spans="2:13">
      <c r="B527" s="391"/>
      <c r="C527" s="160"/>
      <c r="D527" s="160"/>
      <c r="E527" s="160"/>
      <c r="F527" s="160"/>
      <c r="G527" s="160"/>
      <c r="H527" s="160"/>
      <c r="I527" s="160"/>
      <c r="J527" s="160"/>
      <c r="K527" s="160"/>
      <c r="L527" s="160"/>
      <c r="M527" s="160"/>
    </row>
    <row r="528" spans="2:13">
      <c r="B528" s="391"/>
      <c r="C528" s="160"/>
      <c r="D528" s="160"/>
      <c r="E528" s="160"/>
      <c r="F528" s="160"/>
      <c r="G528" s="160"/>
      <c r="H528" s="160"/>
      <c r="I528" s="160"/>
      <c r="J528" s="160"/>
      <c r="K528" s="160"/>
      <c r="L528" s="160"/>
      <c r="M528" s="160"/>
    </row>
    <row r="529" spans="2:13">
      <c r="B529" s="391"/>
      <c r="C529" s="160"/>
      <c r="D529" s="160"/>
      <c r="E529" s="160"/>
      <c r="F529" s="160"/>
      <c r="G529" s="160"/>
      <c r="H529" s="160"/>
      <c r="I529" s="160"/>
      <c r="J529" s="160"/>
      <c r="K529" s="160"/>
      <c r="L529" s="160"/>
      <c r="M529" s="160"/>
    </row>
    <row r="530" spans="2:13">
      <c r="B530" s="391"/>
      <c r="C530" s="160"/>
      <c r="D530" s="160"/>
      <c r="E530" s="160"/>
      <c r="F530" s="160"/>
      <c r="G530" s="160"/>
      <c r="H530" s="160"/>
      <c r="I530" s="160"/>
      <c r="J530" s="160"/>
      <c r="K530" s="160"/>
      <c r="L530" s="160"/>
      <c r="M530" s="160"/>
    </row>
    <row r="531" spans="2:13">
      <c r="B531" s="391"/>
      <c r="C531" s="160"/>
      <c r="D531" s="160"/>
      <c r="E531" s="160"/>
      <c r="F531" s="160"/>
      <c r="G531" s="160"/>
      <c r="H531" s="160"/>
      <c r="I531" s="160"/>
      <c r="J531" s="160"/>
      <c r="K531" s="160"/>
      <c r="L531" s="160"/>
      <c r="M531" s="160"/>
    </row>
    <row r="532" spans="2:13">
      <c r="B532" s="391"/>
      <c r="C532" s="160"/>
      <c r="D532" s="160"/>
      <c r="E532" s="160"/>
      <c r="F532" s="160"/>
      <c r="G532" s="160"/>
      <c r="H532" s="160"/>
      <c r="I532" s="160"/>
      <c r="J532" s="160"/>
      <c r="K532" s="160"/>
      <c r="L532" s="160"/>
      <c r="M532" s="160"/>
    </row>
    <row r="533" spans="2:13">
      <c r="B533" s="391"/>
      <c r="C533" s="160"/>
      <c r="D533" s="160"/>
      <c r="E533" s="160"/>
      <c r="F533" s="160"/>
      <c r="G533" s="160"/>
      <c r="H533" s="160"/>
      <c r="I533" s="160"/>
      <c r="J533" s="160"/>
      <c r="K533" s="160"/>
      <c r="L533" s="160"/>
      <c r="M533" s="160"/>
    </row>
    <row r="534" spans="2:13">
      <c r="B534" s="391"/>
      <c r="C534" s="160"/>
      <c r="D534" s="160"/>
      <c r="E534" s="160"/>
      <c r="F534" s="160"/>
      <c r="G534" s="160"/>
      <c r="H534" s="160"/>
      <c r="I534" s="160"/>
      <c r="J534" s="160"/>
      <c r="K534" s="160"/>
      <c r="L534" s="160"/>
      <c r="M534" s="160"/>
    </row>
    <row r="535" spans="2:13">
      <c r="B535" s="391"/>
      <c r="C535" s="160"/>
      <c r="D535" s="160"/>
      <c r="E535" s="160"/>
      <c r="F535" s="160"/>
      <c r="G535" s="160"/>
      <c r="H535" s="160"/>
      <c r="I535" s="160"/>
      <c r="J535" s="160"/>
      <c r="K535" s="160"/>
      <c r="L535" s="160"/>
      <c r="M535" s="160"/>
    </row>
    <row r="536" spans="2:13">
      <c r="B536" s="391"/>
      <c r="C536" s="160"/>
      <c r="D536" s="160"/>
      <c r="E536" s="160"/>
      <c r="F536" s="160"/>
      <c r="G536" s="160"/>
      <c r="H536" s="160"/>
      <c r="I536" s="160"/>
      <c r="J536" s="160"/>
      <c r="K536" s="160"/>
      <c r="L536" s="160"/>
      <c r="M536" s="160"/>
    </row>
    <row r="537" spans="2:13">
      <c r="B537" s="391"/>
      <c r="C537" s="160"/>
      <c r="D537" s="160"/>
      <c r="E537" s="160"/>
      <c r="F537" s="160"/>
      <c r="G537" s="160"/>
      <c r="H537" s="160"/>
      <c r="I537" s="160"/>
      <c r="J537" s="160"/>
      <c r="K537" s="160"/>
      <c r="L537" s="160"/>
      <c r="M537" s="160"/>
    </row>
    <row r="538" spans="2:13">
      <c r="B538" s="391"/>
      <c r="C538" s="160"/>
      <c r="D538" s="160"/>
      <c r="E538" s="160"/>
      <c r="F538" s="160"/>
      <c r="G538" s="160"/>
      <c r="H538" s="160"/>
      <c r="I538" s="160"/>
      <c r="J538" s="160"/>
      <c r="K538" s="160"/>
      <c r="L538" s="160"/>
      <c r="M538" s="160"/>
    </row>
    <row r="539" spans="2:13">
      <c r="B539" s="391"/>
      <c r="C539" s="160"/>
      <c r="D539" s="160"/>
      <c r="E539" s="160"/>
      <c r="F539" s="160"/>
      <c r="G539" s="160"/>
      <c r="H539" s="160"/>
      <c r="I539" s="160"/>
      <c r="J539" s="160"/>
      <c r="K539" s="160"/>
      <c r="L539" s="160"/>
      <c r="M539" s="160"/>
    </row>
    <row r="540" spans="2:13">
      <c r="B540" s="391"/>
      <c r="C540" s="160"/>
      <c r="D540" s="160"/>
      <c r="E540" s="160"/>
      <c r="F540" s="160"/>
      <c r="G540" s="160"/>
      <c r="H540" s="160"/>
      <c r="I540" s="160"/>
      <c r="J540" s="160"/>
      <c r="K540" s="160"/>
      <c r="L540" s="160"/>
      <c r="M540" s="160"/>
    </row>
    <row r="541" spans="2:13">
      <c r="B541" s="391"/>
      <c r="C541" s="160"/>
      <c r="D541" s="160"/>
      <c r="E541" s="160"/>
      <c r="F541" s="160"/>
      <c r="G541" s="160"/>
      <c r="H541" s="160"/>
      <c r="I541" s="160"/>
      <c r="J541" s="160"/>
      <c r="K541" s="160"/>
      <c r="L541" s="160"/>
      <c r="M541" s="160"/>
    </row>
    <row r="542" spans="2:13">
      <c r="B542" s="391"/>
      <c r="C542" s="160"/>
      <c r="D542" s="160"/>
      <c r="E542" s="160"/>
      <c r="F542" s="160"/>
      <c r="G542" s="160"/>
      <c r="H542" s="160"/>
      <c r="I542" s="160"/>
      <c r="J542" s="160"/>
      <c r="K542" s="160"/>
      <c r="L542" s="160"/>
      <c r="M542" s="160"/>
    </row>
    <row r="543" spans="2:13">
      <c r="B543" s="391"/>
      <c r="C543" s="160"/>
      <c r="D543" s="160"/>
      <c r="E543" s="160"/>
      <c r="F543" s="160"/>
      <c r="G543" s="160"/>
      <c r="H543" s="160"/>
      <c r="I543" s="160"/>
      <c r="J543" s="160"/>
      <c r="K543" s="160"/>
      <c r="L543" s="160"/>
      <c r="M543" s="160"/>
    </row>
    <row r="544" spans="2:13">
      <c r="B544" s="391"/>
      <c r="C544" s="160"/>
      <c r="D544" s="160"/>
      <c r="E544" s="160"/>
      <c r="F544" s="160"/>
      <c r="G544" s="160"/>
      <c r="H544" s="160"/>
      <c r="I544" s="160"/>
      <c r="J544" s="160"/>
      <c r="K544" s="160"/>
      <c r="L544" s="160"/>
      <c r="M544" s="160"/>
    </row>
    <row r="545" spans="2:13">
      <c r="B545" s="391"/>
      <c r="C545" s="160"/>
      <c r="D545" s="160"/>
      <c r="E545" s="160"/>
      <c r="F545" s="160"/>
      <c r="G545" s="160"/>
      <c r="H545" s="160"/>
      <c r="I545" s="160"/>
      <c r="J545" s="160"/>
      <c r="K545" s="160"/>
      <c r="L545" s="160"/>
      <c r="M545" s="160"/>
    </row>
    <row r="546" spans="2:13">
      <c r="B546" s="391"/>
      <c r="C546" s="160"/>
      <c r="D546" s="160"/>
      <c r="E546" s="160"/>
      <c r="F546" s="160"/>
      <c r="G546" s="160"/>
      <c r="H546" s="160"/>
      <c r="I546" s="160"/>
      <c r="J546" s="160"/>
      <c r="K546" s="160"/>
      <c r="L546" s="160"/>
      <c r="M546" s="160"/>
    </row>
    <row r="547" spans="2:13">
      <c r="B547" s="391"/>
      <c r="C547" s="160"/>
      <c r="D547" s="160"/>
      <c r="E547" s="160"/>
      <c r="F547" s="160"/>
      <c r="G547" s="160"/>
      <c r="H547" s="160"/>
      <c r="I547" s="160"/>
      <c r="J547" s="160"/>
      <c r="K547" s="160"/>
      <c r="L547" s="160"/>
      <c r="M547" s="160"/>
    </row>
    <row r="548" spans="2:13">
      <c r="B548" s="391"/>
      <c r="C548" s="160"/>
      <c r="D548" s="160"/>
      <c r="E548" s="160"/>
      <c r="F548" s="160"/>
      <c r="G548" s="160"/>
      <c r="H548" s="160"/>
      <c r="I548" s="160"/>
      <c r="J548" s="160"/>
      <c r="K548" s="160"/>
      <c r="L548" s="160"/>
      <c r="M548" s="160"/>
    </row>
    <row r="549" spans="2:13">
      <c r="B549" s="391"/>
      <c r="C549" s="160"/>
      <c r="D549" s="160"/>
      <c r="E549" s="160"/>
      <c r="F549" s="160"/>
      <c r="G549" s="160"/>
      <c r="H549" s="160"/>
      <c r="I549" s="160"/>
      <c r="J549" s="160"/>
      <c r="K549" s="160"/>
      <c r="L549" s="160"/>
      <c r="M549" s="160"/>
    </row>
    <row r="550" spans="2:13">
      <c r="B550" s="391"/>
      <c r="C550" s="160"/>
      <c r="D550" s="160"/>
      <c r="E550" s="160"/>
      <c r="F550" s="160"/>
      <c r="G550" s="160"/>
      <c r="H550" s="160"/>
      <c r="I550" s="160"/>
      <c r="J550" s="160"/>
      <c r="K550" s="160"/>
      <c r="L550" s="160"/>
      <c r="M550" s="160"/>
    </row>
    <row r="551" spans="2:13">
      <c r="B551" s="391"/>
      <c r="C551" s="160"/>
      <c r="D551" s="160"/>
      <c r="E551" s="160"/>
      <c r="F551" s="160"/>
      <c r="G551" s="160"/>
      <c r="H551" s="160"/>
      <c r="I551" s="160"/>
      <c r="J551" s="160"/>
      <c r="K551" s="160"/>
      <c r="L551" s="160"/>
      <c r="M551" s="160"/>
    </row>
    <row r="552" spans="2:13">
      <c r="B552" s="391"/>
      <c r="C552" s="160"/>
      <c r="D552" s="160"/>
      <c r="E552" s="160"/>
      <c r="F552" s="160"/>
      <c r="G552" s="160"/>
      <c r="H552" s="160"/>
      <c r="I552" s="160"/>
      <c r="J552" s="160"/>
      <c r="K552" s="160"/>
      <c r="L552" s="160"/>
      <c r="M552" s="160"/>
    </row>
    <row r="553" spans="2:13">
      <c r="B553" s="391"/>
      <c r="C553" s="160"/>
      <c r="D553" s="160"/>
      <c r="E553" s="160"/>
      <c r="F553" s="160"/>
      <c r="G553" s="160"/>
      <c r="H553" s="160"/>
      <c r="I553" s="160"/>
      <c r="J553" s="160"/>
      <c r="K553" s="160"/>
      <c r="L553" s="160"/>
      <c r="M553" s="160"/>
    </row>
    <row r="554" spans="2:13">
      <c r="B554" s="391"/>
      <c r="C554" s="160"/>
      <c r="D554" s="160"/>
      <c r="E554" s="160"/>
      <c r="F554" s="160"/>
      <c r="G554" s="160"/>
      <c r="H554" s="160"/>
      <c r="I554" s="160"/>
      <c r="J554" s="160"/>
      <c r="K554" s="160"/>
      <c r="L554" s="160"/>
      <c r="M554" s="160"/>
    </row>
    <row r="555" spans="2:13">
      <c r="B555" s="391"/>
      <c r="C555" s="160"/>
      <c r="D555" s="160"/>
      <c r="E555" s="160"/>
      <c r="F555" s="160"/>
      <c r="G555" s="160"/>
      <c r="H555" s="160"/>
      <c r="I555" s="160"/>
      <c r="J555" s="160"/>
      <c r="K555" s="160"/>
      <c r="L555" s="160"/>
      <c r="M555" s="160"/>
    </row>
    <row r="556" spans="2:13">
      <c r="B556" s="391"/>
      <c r="C556" s="160"/>
      <c r="D556" s="160"/>
      <c r="E556" s="160"/>
      <c r="F556" s="160"/>
      <c r="G556" s="160"/>
      <c r="H556" s="160"/>
      <c r="I556" s="160"/>
      <c r="J556" s="160"/>
      <c r="K556" s="160"/>
      <c r="L556" s="160"/>
      <c r="M556" s="160"/>
    </row>
    <row r="557" spans="2:13">
      <c r="B557" s="391"/>
      <c r="C557" s="160"/>
      <c r="D557" s="160"/>
      <c r="E557" s="160"/>
      <c r="F557" s="160"/>
      <c r="G557" s="160"/>
      <c r="H557" s="160"/>
      <c r="I557" s="160"/>
      <c r="J557" s="160"/>
      <c r="K557" s="160"/>
      <c r="L557" s="160"/>
      <c r="M557" s="160"/>
    </row>
    <row r="558" spans="2:13">
      <c r="B558" s="391"/>
      <c r="C558" s="160"/>
      <c r="D558" s="160"/>
      <c r="E558" s="160"/>
      <c r="F558" s="160"/>
      <c r="G558" s="160"/>
      <c r="H558" s="160"/>
      <c r="I558" s="160"/>
      <c r="J558" s="160"/>
      <c r="K558" s="160"/>
      <c r="L558" s="160"/>
      <c r="M558" s="160"/>
    </row>
    <row r="559" spans="2:13">
      <c r="B559" s="391"/>
      <c r="C559" s="160"/>
      <c r="D559" s="160"/>
      <c r="E559" s="160"/>
      <c r="F559" s="160"/>
      <c r="G559" s="160"/>
      <c r="H559" s="160"/>
      <c r="I559" s="160"/>
      <c r="J559" s="160"/>
      <c r="K559" s="160"/>
      <c r="L559" s="160"/>
      <c r="M559" s="160"/>
    </row>
    <row r="560" spans="2:13">
      <c r="B560" s="391"/>
      <c r="C560" s="160"/>
      <c r="D560" s="160"/>
      <c r="E560" s="160"/>
      <c r="F560" s="160"/>
      <c r="G560" s="160"/>
      <c r="H560" s="160"/>
      <c r="I560" s="160"/>
      <c r="J560" s="160"/>
      <c r="K560" s="160"/>
      <c r="L560" s="160"/>
      <c r="M560" s="160"/>
    </row>
    <row r="561" spans="2:13">
      <c r="B561" s="391"/>
      <c r="C561" s="160"/>
      <c r="D561" s="160"/>
      <c r="E561" s="160"/>
      <c r="F561" s="160"/>
      <c r="G561" s="160"/>
      <c r="H561" s="160"/>
      <c r="I561" s="160"/>
      <c r="J561" s="160"/>
      <c r="K561" s="160"/>
      <c r="L561" s="160"/>
      <c r="M561" s="160"/>
    </row>
    <row r="562" spans="2:13">
      <c r="B562" s="391"/>
      <c r="C562" s="160"/>
      <c r="D562" s="160"/>
      <c r="E562" s="160"/>
      <c r="F562" s="160"/>
      <c r="G562" s="160"/>
      <c r="H562" s="160"/>
      <c r="I562" s="160"/>
      <c r="J562" s="160"/>
      <c r="K562" s="160"/>
      <c r="L562" s="160"/>
      <c r="M562" s="160"/>
    </row>
    <row r="563" spans="2:13">
      <c r="B563" s="391"/>
      <c r="C563" s="160"/>
      <c r="D563" s="160"/>
      <c r="E563" s="160"/>
      <c r="F563" s="160"/>
      <c r="G563" s="160"/>
      <c r="H563" s="160"/>
      <c r="I563" s="160"/>
      <c r="J563" s="160"/>
      <c r="K563" s="160"/>
      <c r="L563" s="160"/>
      <c r="M563" s="160"/>
    </row>
    <row r="564" spans="2:13">
      <c r="B564" s="391"/>
      <c r="C564" s="160"/>
      <c r="D564" s="160"/>
      <c r="E564" s="160"/>
      <c r="F564" s="160"/>
      <c r="G564" s="160"/>
      <c r="H564" s="160"/>
      <c r="I564" s="160"/>
      <c r="J564" s="160"/>
      <c r="K564" s="160"/>
      <c r="L564" s="160"/>
      <c r="M564" s="160"/>
    </row>
    <row r="565" spans="2:13">
      <c r="B565" s="391"/>
      <c r="C565" s="160"/>
      <c r="D565" s="160"/>
      <c r="E565" s="160"/>
      <c r="F565" s="160"/>
      <c r="G565" s="160"/>
      <c r="H565" s="160"/>
      <c r="I565" s="160"/>
      <c r="J565" s="160"/>
      <c r="K565" s="160"/>
      <c r="L565" s="160"/>
      <c r="M565" s="160"/>
    </row>
    <row r="566" spans="2:13">
      <c r="B566" s="391"/>
      <c r="C566" s="160"/>
      <c r="D566" s="160"/>
      <c r="E566" s="160"/>
      <c r="F566" s="160"/>
      <c r="G566" s="160"/>
      <c r="H566" s="160"/>
      <c r="I566" s="160"/>
      <c r="J566" s="160"/>
      <c r="K566" s="160"/>
      <c r="L566" s="160"/>
      <c r="M566" s="160"/>
    </row>
    <row r="567" spans="2:13">
      <c r="B567" s="391"/>
      <c r="C567" s="160"/>
      <c r="D567" s="160"/>
      <c r="E567" s="160"/>
      <c r="F567" s="160"/>
      <c r="G567" s="160"/>
      <c r="H567" s="160"/>
      <c r="I567" s="160"/>
      <c r="J567" s="160"/>
      <c r="K567" s="160"/>
      <c r="L567" s="160"/>
      <c r="M567" s="160"/>
    </row>
    <row r="568" spans="2:13">
      <c r="B568" s="391"/>
      <c r="C568" s="160"/>
      <c r="D568" s="160"/>
      <c r="E568" s="160"/>
      <c r="F568" s="160"/>
      <c r="G568" s="160"/>
      <c r="H568" s="160"/>
      <c r="I568" s="160"/>
      <c r="J568" s="160"/>
      <c r="K568" s="160"/>
      <c r="L568" s="160"/>
      <c r="M568" s="160"/>
    </row>
    <row r="569" spans="2:13">
      <c r="B569" s="391"/>
      <c r="C569" s="160"/>
      <c r="D569" s="160"/>
      <c r="E569" s="160"/>
      <c r="F569" s="160"/>
      <c r="G569" s="160"/>
      <c r="H569" s="160"/>
      <c r="I569" s="160"/>
      <c r="J569" s="160"/>
      <c r="K569" s="160"/>
      <c r="L569" s="160"/>
      <c r="M569" s="160"/>
    </row>
    <row r="570" spans="2:13">
      <c r="B570" s="391"/>
      <c r="C570" s="160"/>
      <c r="D570" s="160"/>
      <c r="E570" s="160"/>
      <c r="F570" s="160"/>
      <c r="G570" s="160"/>
      <c r="H570" s="160"/>
      <c r="I570" s="160"/>
      <c r="J570" s="160"/>
      <c r="K570" s="160"/>
      <c r="L570" s="160"/>
      <c r="M570" s="160"/>
    </row>
    <row r="571" spans="2:13">
      <c r="B571" s="391"/>
      <c r="C571" s="160"/>
      <c r="D571" s="160"/>
      <c r="E571" s="160"/>
      <c r="F571" s="160"/>
      <c r="G571" s="160"/>
      <c r="H571" s="160"/>
      <c r="I571" s="160"/>
      <c r="J571" s="160"/>
      <c r="K571" s="160"/>
      <c r="L571" s="160"/>
      <c r="M571" s="160"/>
    </row>
    <row r="572" spans="2:13">
      <c r="B572" s="391"/>
      <c r="C572" s="160"/>
      <c r="D572" s="160"/>
      <c r="E572" s="160"/>
      <c r="F572" s="160"/>
      <c r="G572" s="160"/>
      <c r="H572" s="160"/>
      <c r="I572" s="160"/>
      <c r="J572" s="160"/>
      <c r="K572" s="160"/>
      <c r="L572" s="160"/>
      <c r="M572" s="160"/>
    </row>
    <row r="573" spans="2:13">
      <c r="B573" s="391"/>
      <c r="C573" s="160"/>
      <c r="D573" s="160"/>
      <c r="E573" s="160"/>
      <c r="F573" s="160"/>
      <c r="G573" s="160"/>
      <c r="H573" s="160"/>
      <c r="I573" s="160"/>
      <c r="J573" s="160"/>
      <c r="K573" s="160"/>
      <c r="L573" s="160"/>
      <c r="M573" s="160"/>
    </row>
    <row r="574" spans="2:13">
      <c r="B574" s="391"/>
      <c r="C574" s="160"/>
      <c r="D574" s="160"/>
      <c r="E574" s="160"/>
      <c r="F574" s="160"/>
      <c r="G574" s="160"/>
      <c r="H574" s="160"/>
      <c r="I574" s="160"/>
      <c r="J574" s="160"/>
      <c r="K574" s="160"/>
      <c r="L574" s="160"/>
      <c r="M574" s="160"/>
    </row>
    <row r="575" spans="2:13">
      <c r="B575" s="391"/>
      <c r="C575" s="160"/>
      <c r="D575" s="160"/>
      <c r="E575" s="160"/>
      <c r="F575" s="160"/>
      <c r="G575" s="160"/>
      <c r="H575" s="160"/>
      <c r="I575" s="160"/>
      <c r="J575" s="160"/>
      <c r="K575" s="160"/>
      <c r="L575" s="160"/>
      <c r="M575" s="160"/>
    </row>
    <row r="576" spans="2:13">
      <c r="B576" s="391"/>
      <c r="C576" s="160"/>
      <c r="D576" s="160"/>
      <c r="E576" s="160"/>
      <c r="F576" s="160"/>
      <c r="G576" s="160"/>
      <c r="H576" s="160"/>
      <c r="I576" s="160"/>
      <c r="J576" s="160"/>
      <c r="K576" s="160"/>
      <c r="L576" s="160"/>
      <c r="M576" s="160"/>
    </row>
    <row r="577" spans="2:13">
      <c r="B577" s="391"/>
      <c r="C577" s="160"/>
      <c r="D577" s="160"/>
      <c r="E577" s="160"/>
      <c r="F577" s="160"/>
      <c r="G577" s="160"/>
      <c r="H577" s="160"/>
      <c r="I577" s="160"/>
      <c r="J577" s="160"/>
      <c r="K577" s="160"/>
      <c r="L577" s="160"/>
      <c r="M577" s="160"/>
    </row>
    <row r="578" spans="2:13">
      <c r="B578" s="391"/>
      <c r="C578" s="160"/>
      <c r="D578" s="160"/>
      <c r="E578" s="160"/>
      <c r="F578" s="160"/>
      <c r="G578" s="160"/>
      <c r="H578" s="160"/>
      <c r="I578" s="160"/>
      <c r="J578" s="160"/>
      <c r="K578" s="160"/>
      <c r="L578" s="160"/>
      <c r="M578" s="160"/>
    </row>
    <row r="579" spans="2:13">
      <c r="B579" s="391"/>
      <c r="C579" s="160"/>
      <c r="D579" s="160"/>
      <c r="E579" s="160"/>
      <c r="F579" s="160"/>
      <c r="G579" s="160"/>
      <c r="H579" s="160"/>
      <c r="I579" s="160"/>
      <c r="J579" s="160"/>
      <c r="K579" s="160"/>
      <c r="L579" s="160"/>
      <c r="M579" s="160"/>
    </row>
    <row r="580" spans="2:13">
      <c r="B580" s="391"/>
      <c r="C580" s="160"/>
      <c r="D580" s="160"/>
      <c r="E580" s="160"/>
      <c r="F580" s="160"/>
      <c r="G580" s="160"/>
      <c r="H580" s="160"/>
      <c r="I580" s="160"/>
      <c r="J580" s="160"/>
      <c r="K580" s="160"/>
      <c r="L580" s="160"/>
      <c r="M580" s="160"/>
    </row>
    <row r="581" spans="2:13">
      <c r="B581" s="391"/>
      <c r="C581" s="160"/>
      <c r="D581" s="160"/>
      <c r="E581" s="160"/>
      <c r="F581" s="160"/>
      <c r="G581" s="160"/>
      <c r="H581" s="160"/>
      <c r="I581" s="160"/>
      <c r="J581" s="160"/>
      <c r="K581" s="160"/>
      <c r="L581" s="160"/>
      <c r="M581" s="160"/>
    </row>
    <row r="582" spans="2:13">
      <c r="B582" s="391"/>
      <c r="C582" s="160"/>
      <c r="D582" s="160"/>
      <c r="E582" s="160"/>
      <c r="F582" s="160"/>
      <c r="G582" s="160"/>
      <c r="H582" s="160"/>
      <c r="I582" s="160"/>
      <c r="J582" s="160"/>
      <c r="K582" s="160"/>
      <c r="L582" s="160"/>
      <c r="M582" s="160"/>
    </row>
    <row r="583" spans="2:13">
      <c r="B583" s="391"/>
      <c r="C583" s="160"/>
      <c r="D583" s="160"/>
      <c r="E583" s="160"/>
      <c r="F583" s="160"/>
      <c r="G583" s="160"/>
      <c r="H583" s="160"/>
      <c r="I583" s="160"/>
      <c r="J583" s="160"/>
      <c r="K583" s="160"/>
      <c r="L583" s="160"/>
      <c r="M583" s="160"/>
    </row>
    <row r="584" spans="2:13">
      <c r="B584" s="391"/>
      <c r="C584" s="160"/>
      <c r="D584" s="160"/>
      <c r="E584" s="160"/>
      <c r="F584" s="160"/>
      <c r="G584" s="160"/>
      <c r="H584" s="160"/>
      <c r="I584" s="160"/>
      <c r="J584" s="160"/>
      <c r="K584" s="160"/>
      <c r="L584" s="160"/>
      <c r="M584" s="160"/>
    </row>
    <row r="585" spans="2:13">
      <c r="B585" s="391"/>
      <c r="C585" s="160"/>
      <c r="D585" s="160"/>
      <c r="E585" s="160"/>
      <c r="F585" s="160"/>
      <c r="G585" s="160"/>
      <c r="H585" s="160"/>
      <c r="I585" s="160"/>
      <c r="J585" s="160"/>
      <c r="K585" s="160"/>
      <c r="L585" s="160"/>
      <c r="M585" s="160"/>
    </row>
    <row r="586" spans="2:13">
      <c r="B586" s="391"/>
      <c r="C586" s="160"/>
      <c r="D586" s="160"/>
      <c r="E586" s="160"/>
      <c r="F586" s="160"/>
      <c r="G586" s="160"/>
      <c r="H586" s="160"/>
      <c r="I586" s="160"/>
      <c r="J586" s="160"/>
      <c r="K586" s="160"/>
      <c r="L586" s="160"/>
      <c r="M586" s="160"/>
    </row>
    <row r="587" spans="2:13">
      <c r="B587" s="391"/>
      <c r="C587" s="160"/>
      <c r="D587" s="160"/>
      <c r="E587" s="160"/>
      <c r="F587" s="160"/>
      <c r="G587" s="160"/>
      <c r="H587" s="160"/>
      <c r="I587" s="160"/>
      <c r="J587" s="160"/>
      <c r="K587" s="160"/>
      <c r="L587" s="160"/>
      <c r="M587" s="160"/>
    </row>
    <row r="588" spans="2:13">
      <c r="B588" s="391"/>
      <c r="C588" s="160"/>
      <c r="D588" s="160"/>
      <c r="E588" s="160"/>
      <c r="F588" s="160"/>
      <c r="G588" s="160"/>
      <c r="H588" s="160"/>
      <c r="I588" s="160"/>
      <c r="J588" s="160"/>
      <c r="K588" s="160"/>
      <c r="L588" s="160"/>
      <c r="M588" s="160"/>
    </row>
    <row r="589" spans="2:13">
      <c r="B589" s="391"/>
      <c r="C589" s="160"/>
      <c r="D589" s="160"/>
      <c r="E589" s="160"/>
      <c r="F589" s="160"/>
      <c r="G589" s="160"/>
      <c r="H589" s="160"/>
      <c r="I589" s="160"/>
      <c r="J589" s="160"/>
      <c r="K589" s="160"/>
      <c r="L589" s="160"/>
      <c r="M589" s="160"/>
    </row>
    <row r="590" spans="2:13">
      <c r="B590" s="391"/>
      <c r="C590" s="160"/>
      <c r="D590" s="160"/>
      <c r="E590" s="160"/>
      <c r="F590" s="160"/>
      <c r="G590" s="160"/>
      <c r="H590" s="160"/>
      <c r="I590" s="160"/>
      <c r="J590" s="160"/>
      <c r="K590" s="160"/>
      <c r="L590" s="160"/>
      <c r="M590" s="160"/>
    </row>
    <row r="591" spans="2:13">
      <c r="B591" s="391"/>
      <c r="C591" s="160"/>
      <c r="D591" s="160"/>
      <c r="E591" s="160"/>
      <c r="F591" s="160"/>
      <c r="G591" s="160"/>
      <c r="H591" s="160"/>
      <c r="I591" s="160"/>
      <c r="J591" s="160"/>
      <c r="K591" s="160"/>
      <c r="L591" s="160"/>
      <c r="M591" s="160"/>
    </row>
    <row r="592" spans="2:13">
      <c r="B592" s="391"/>
      <c r="C592" s="160"/>
      <c r="D592" s="160"/>
      <c r="E592" s="160"/>
      <c r="F592" s="160"/>
      <c r="G592" s="160"/>
      <c r="H592" s="160"/>
      <c r="I592" s="160"/>
      <c r="J592" s="160"/>
      <c r="K592" s="160"/>
      <c r="L592" s="160"/>
      <c r="M592" s="160"/>
    </row>
    <row r="593" spans="2:13">
      <c r="B593" s="391"/>
      <c r="C593" s="160"/>
      <c r="D593" s="160"/>
      <c r="E593" s="160"/>
      <c r="F593" s="160"/>
      <c r="G593" s="160"/>
      <c r="H593" s="160"/>
      <c r="I593" s="160"/>
      <c r="J593" s="160"/>
      <c r="K593" s="160"/>
      <c r="L593" s="160"/>
      <c r="M593" s="160"/>
    </row>
    <row r="594" spans="2:13">
      <c r="B594" s="391"/>
      <c r="C594" s="160"/>
      <c r="D594" s="160"/>
      <c r="E594" s="160"/>
      <c r="F594" s="160"/>
      <c r="G594" s="160"/>
      <c r="H594" s="160"/>
      <c r="I594" s="160"/>
      <c r="J594" s="160"/>
      <c r="K594" s="160"/>
      <c r="L594" s="160"/>
      <c r="M594" s="160"/>
    </row>
    <row r="595" spans="2:13">
      <c r="B595" s="391"/>
      <c r="C595" s="160"/>
      <c r="D595" s="160"/>
      <c r="E595" s="160"/>
      <c r="F595" s="160"/>
      <c r="G595" s="160"/>
      <c r="H595" s="160"/>
      <c r="I595" s="160"/>
      <c r="J595" s="160"/>
      <c r="K595" s="160"/>
      <c r="L595" s="160"/>
      <c r="M595" s="160"/>
    </row>
    <row r="596" spans="2:13">
      <c r="B596" s="391"/>
      <c r="C596" s="160"/>
      <c r="D596" s="160"/>
      <c r="E596" s="160"/>
      <c r="F596" s="160"/>
      <c r="G596" s="160"/>
      <c r="H596" s="160"/>
      <c r="I596" s="160"/>
      <c r="J596" s="160"/>
      <c r="K596" s="160"/>
      <c r="L596" s="160"/>
      <c r="M596" s="160"/>
    </row>
    <row r="597" spans="2:13">
      <c r="B597" s="391"/>
      <c r="C597" s="160"/>
      <c r="D597" s="160"/>
      <c r="E597" s="160"/>
      <c r="F597" s="160"/>
      <c r="G597" s="160"/>
      <c r="H597" s="160"/>
      <c r="I597" s="160"/>
      <c r="J597" s="160"/>
      <c r="K597" s="160"/>
      <c r="L597" s="160"/>
      <c r="M597" s="160"/>
    </row>
    <row r="598" spans="2:13">
      <c r="B598" s="391"/>
      <c r="C598" s="160"/>
      <c r="D598" s="160"/>
      <c r="E598" s="160"/>
      <c r="F598" s="160"/>
      <c r="G598" s="160"/>
      <c r="H598" s="160"/>
      <c r="I598" s="160"/>
      <c r="J598" s="160"/>
      <c r="K598" s="160"/>
      <c r="L598" s="160"/>
      <c r="M598" s="160"/>
    </row>
    <row r="599" spans="2:13">
      <c r="B599" s="391"/>
      <c r="C599" s="160"/>
      <c r="D599" s="160"/>
      <c r="E599" s="160"/>
      <c r="F599" s="160"/>
      <c r="G599" s="160"/>
      <c r="H599" s="160"/>
      <c r="I599" s="160"/>
      <c r="J599" s="160"/>
      <c r="K599" s="160"/>
      <c r="L599" s="160"/>
      <c r="M599" s="160"/>
    </row>
    <row r="600" spans="2:13">
      <c r="B600" s="391"/>
      <c r="C600" s="160"/>
      <c r="D600" s="160"/>
      <c r="E600" s="160"/>
      <c r="F600" s="160"/>
      <c r="G600" s="160"/>
      <c r="H600" s="160"/>
      <c r="I600" s="160"/>
      <c r="J600" s="160"/>
      <c r="K600" s="160"/>
      <c r="L600" s="160"/>
      <c r="M600" s="160"/>
    </row>
    <row r="601" spans="2:13">
      <c r="B601" s="391"/>
      <c r="C601" s="160"/>
      <c r="D601" s="160"/>
      <c r="E601" s="160"/>
      <c r="F601" s="160"/>
      <c r="G601" s="160"/>
      <c r="H601" s="160"/>
      <c r="I601" s="160"/>
      <c r="J601" s="160"/>
      <c r="K601" s="160"/>
      <c r="L601" s="160"/>
      <c r="M601" s="160"/>
    </row>
    <row r="602" spans="2:13">
      <c r="B602" s="391"/>
      <c r="C602" s="160"/>
      <c r="D602" s="160"/>
      <c r="E602" s="160"/>
      <c r="F602" s="160"/>
      <c r="G602" s="160"/>
      <c r="H602" s="160"/>
      <c r="I602" s="160"/>
      <c r="J602" s="160"/>
      <c r="K602" s="160"/>
      <c r="L602" s="160"/>
      <c r="M602" s="160"/>
    </row>
    <row r="603" spans="2:13">
      <c r="B603" s="391"/>
      <c r="C603" s="160"/>
      <c r="D603" s="160"/>
      <c r="E603" s="160"/>
      <c r="F603" s="160"/>
      <c r="G603" s="160"/>
      <c r="H603" s="160"/>
      <c r="I603" s="160"/>
      <c r="J603" s="160"/>
      <c r="K603" s="160"/>
      <c r="L603" s="160"/>
      <c r="M603" s="160"/>
    </row>
    <row r="604" spans="2:13">
      <c r="B604" s="391"/>
      <c r="C604" s="160"/>
      <c r="D604" s="160"/>
      <c r="E604" s="160"/>
      <c r="F604" s="160"/>
      <c r="G604" s="160"/>
      <c r="H604" s="160"/>
      <c r="I604" s="160"/>
      <c r="J604" s="160"/>
      <c r="K604" s="160"/>
      <c r="L604" s="160"/>
      <c r="M604" s="160"/>
    </row>
    <row r="605" spans="2:13">
      <c r="B605" s="391"/>
      <c r="C605" s="160"/>
      <c r="D605" s="160"/>
      <c r="E605" s="160"/>
      <c r="F605" s="160"/>
      <c r="G605" s="160"/>
      <c r="H605" s="160"/>
      <c r="I605" s="160"/>
      <c r="J605" s="160"/>
      <c r="K605" s="160"/>
      <c r="L605" s="160"/>
      <c r="M605" s="160"/>
    </row>
    <row r="606" spans="2:13">
      <c r="B606" s="391"/>
      <c r="C606" s="160"/>
      <c r="D606" s="160"/>
      <c r="E606" s="160"/>
      <c r="F606" s="160"/>
      <c r="G606" s="160"/>
      <c r="H606" s="160"/>
      <c r="I606" s="160"/>
      <c r="J606" s="160"/>
      <c r="K606" s="160"/>
      <c r="L606" s="160"/>
      <c r="M606" s="160"/>
    </row>
    <row r="607" spans="2:13">
      <c r="B607" s="391"/>
      <c r="C607" s="160"/>
      <c r="D607" s="160"/>
      <c r="E607" s="160"/>
      <c r="F607" s="160"/>
      <c r="G607" s="160"/>
      <c r="H607" s="160"/>
      <c r="I607" s="160"/>
      <c r="J607" s="160"/>
      <c r="K607" s="160"/>
      <c r="L607" s="160"/>
      <c r="M607" s="160"/>
    </row>
    <row r="608" spans="2:13">
      <c r="B608" s="391"/>
      <c r="C608" s="160"/>
      <c r="D608" s="160"/>
      <c r="E608" s="160"/>
      <c r="F608" s="160"/>
      <c r="G608" s="160"/>
      <c r="H608" s="160"/>
      <c r="I608" s="160"/>
      <c r="J608" s="160"/>
      <c r="K608" s="160"/>
      <c r="L608" s="160"/>
      <c r="M608" s="160"/>
    </row>
    <row r="609" spans="2:13">
      <c r="B609" s="391"/>
      <c r="C609" s="160"/>
      <c r="D609" s="160"/>
      <c r="E609" s="160"/>
      <c r="F609" s="160"/>
      <c r="G609" s="160"/>
      <c r="H609" s="160"/>
      <c r="I609" s="160"/>
      <c r="J609" s="160"/>
      <c r="K609" s="160"/>
      <c r="L609" s="160"/>
      <c r="M609" s="160"/>
    </row>
    <row r="610" spans="2:13">
      <c r="B610" s="391"/>
      <c r="C610" s="160"/>
      <c r="D610" s="160"/>
      <c r="E610" s="160"/>
      <c r="F610" s="160"/>
      <c r="G610" s="160"/>
      <c r="H610" s="160"/>
      <c r="I610" s="160"/>
      <c r="J610" s="160"/>
      <c r="K610" s="160"/>
      <c r="L610" s="160"/>
      <c r="M610" s="160"/>
    </row>
    <row r="611" spans="2:13">
      <c r="B611" s="391"/>
      <c r="C611" s="160"/>
      <c r="D611" s="160"/>
      <c r="E611" s="160"/>
      <c r="F611" s="160"/>
      <c r="G611" s="160"/>
      <c r="H611" s="160"/>
      <c r="I611" s="160"/>
      <c r="J611" s="160"/>
      <c r="K611" s="160"/>
      <c r="L611" s="160"/>
      <c r="M611" s="160"/>
    </row>
    <row r="612" spans="2:13">
      <c r="B612" s="391"/>
      <c r="C612" s="160"/>
      <c r="D612" s="160"/>
      <c r="E612" s="160"/>
      <c r="F612" s="160"/>
      <c r="G612" s="160"/>
      <c r="H612" s="160"/>
      <c r="I612" s="160"/>
      <c r="J612" s="160"/>
      <c r="K612" s="160"/>
      <c r="L612" s="160"/>
      <c r="M612" s="160"/>
    </row>
    <row r="613" spans="2:13">
      <c r="B613" s="391"/>
      <c r="C613" s="160"/>
      <c r="D613" s="160"/>
      <c r="E613" s="160"/>
      <c r="F613" s="160"/>
      <c r="G613" s="160"/>
      <c r="H613" s="160"/>
      <c r="I613" s="160"/>
      <c r="J613" s="160"/>
      <c r="K613" s="160"/>
      <c r="L613" s="160"/>
      <c r="M613" s="160"/>
    </row>
    <row r="614" spans="2:13">
      <c r="B614" s="391"/>
      <c r="C614" s="160"/>
      <c r="D614" s="160"/>
      <c r="E614" s="160"/>
      <c r="F614" s="160"/>
      <c r="G614" s="160"/>
      <c r="H614" s="160"/>
      <c r="I614" s="160"/>
      <c r="J614" s="160"/>
      <c r="K614" s="160"/>
      <c r="L614" s="160"/>
      <c r="M614" s="160"/>
    </row>
    <row r="615" spans="2:13">
      <c r="B615" s="391"/>
      <c r="C615" s="160"/>
      <c r="D615" s="160"/>
      <c r="E615" s="160"/>
      <c r="F615" s="160"/>
      <c r="G615" s="160"/>
      <c r="H615" s="160"/>
      <c r="I615" s="160"/>
      <c r="J615" s="160"/>
      <c r="K615" s="160"/>
      <c r="L615" s="160"/>
      <c r="M615" s="160"/>
    </row>
    <row r="616" spans="2:13">
      <c r="B616" s="391"/>
      <c r="C616" s="160"/>
      <c r="D616" s="160"/>
      <c r="E616" s="160"/>
      <c r="F616" s="160"/>
      <c r="G616" s="160"/>
      <c r="H616" s="160"/>
      <c r="I616" s="160"/>
      <c r="J616" s="160"/>
      <c r="K616" s="160"/>
      <c r="L616" s="160"/>
      <c r="M616" s="160"/>
    </row>
    <row r="617" spans="2:13">
      <c r="B617" s="391"/>
      <c r="C617" s="160"/>
      <c r="D617" s="160"/>
      <c r="E617" s="160"/>
      <c r="F617" s="160"/>
      <c r="G617" s="160"/>
      <c r="H617" s="160"/>
      <c r="I617" s="160"/>
      <c r="J617" s="160"/>
      <c r="K617" s="160"/>
      <c r="L617" s="160"/>
      <c r="M617" s="160"/>
    </row>
    <row r="618" spans="2:13">
      <c r="B618" s="391"/>
      <c r="C618" s="160"/>
      <c r="D618" s="160"/>
      <c r="E618" s="160"/>
      <c r="F618" s="160"/>
      <c r="G618" s="160"/>
      <c r="H618" s="160"/>
      <c r="I618" s="160"/>
      <c r="J618" s="160"/>
      <c r="K618" s="160"/>
      <c r="L618" s="160"/>
      <c r="M618" s="160"/>
    </row>
    <row r="619" spans="2:13">
      <c r="B619" s="391"/>
      <c r="C619" s="160"/>
      <c r="D619" s="160"/>
      <c r="E619" s="160"/>
      <c r="F619" s="160"/>
      <c r="G619" s="160"/>
      <c r="H619" s="160"/>
      <c r="I619" s="160"/>
      <c r="J619" s="160"/>
      <c r="K619" s="160"/>
      <c r="L619" s="160"/>
      <c r="M619" s="160"/>
    </row>
    <row r="620" spans="2:13">
      <c r="B620" s="391"/>
      <c r="C620" s="160"/>
      <c r="D620" s="160"/>
      <c r="E620" s="160"/>
      <c r="F620" s="160"/>
      <c r="G620" s="160"/>
      <c r="H620" s="160"/>
      <c r="I620" s="160"/>
      <c r="J620" s="160"/>
      <c r="K620" s="160"/>
      <c r="L620" s="160"/>
      <c r="M620" s="160"/>
    </row>
    <row r="621" spans="2:13">
      <c r="B621" s="391"/>
      <c r="C621" s="160"/>
      <c r="D621" s="160"/>
      <c r="E621" s="160"/>
      <c r="F621" s="160"/>
      <c r="G621" s="160"/>
      <c r="H621" s="160"/>
      <c r="I621" s="160"/>
      <c r="J621" s="160"/>
      <c r="K621" s="160"/>
      <c r="L621" s="160"/>
      <c r="M621" s="160"/>
    </row>
    <row r="622" spans="2:13">
      <c r="B622" s="391"/>
      <c r="C622" s="160"/>
      <c r="D622" s="160"/>
      <c r="E622" s="160"/>
      <c r="F622" s="160"/>
      <c r="G622" s="160"/>
      <c r="H622" s="160"/>
      <c r="I622" s="160"/>
      <c r="J622" s="160"/>
      <c r="K622" s="160"/>
      <c r="L622" s="160"/>
      <c r="M622" s="160"/>
    </row>
    <row r="623" spans="2:13">
      <c r="B623" s="391"/>
      <c r="C623" s="160"/>
      <c r="D623" s="160"/>
      <c r="E623" s="160"/>
      <c r="F623" s="160"/>
      <c r="G623" s="160"/>
      <c r="H623" s="160"/>
      <c r="I623" s="160"/>
      <c r="J623" s="160"/>
      <c r="K623" s="160"/>
      <c r="L623" s="160"/>
      <c r="M623" s="160"/>
    </row>
    <row r="624" spans="2:13">
      <c r="B624" s="391"/>
      <c r="C624" s="160"/>
      <c r="D624" s="160"/>
      <c r="E624" s="160"/>
      <c r="F624" s="160"/>
      <c r="G624" s="160"/>
      <c r="H624" s="160"/>
      <c r="I624" s="160"/>
      <c r="J624" s="160"/>
      <c r="K624" s="160"/>
      <c r="L624" s="160"/>
      <c r="M624" s="160"/>
    </row>
    <row r="625" spans="2:13">
      <c r="B625" s="391"/>
      <c r="C625" s="160"/>
      <c r="D625" s="160"/>
      <c r="E625" s="160"/>
      <c r="F625" s="160"/>
      <c r="G625" s="160"/>
      <c r="H625" s="160"/>
      <c r="I625" s="160"/>
      <c r="J625" s="160"/>
      <c r="K625" s="160"/>
      <c r="L625" s="160"/>
      <c r="M625" s="160"/>
    </row>
    <row r="626" spans="2:13">
      <c r="B626" s="391"/>
      <c r="C626" s="160"/>
      <c r="D626" s="160"/>
      <c r="E626" s="160"/>
      <c r="F626" s="160"/>
      <c r="G626" s="160"/>
      <c r="H626" s="160"/>
      <c r="I626" s="160"/>
      <c r="J626" s="160"/>
      <c r="K626" s="160"/>
      <c r="L626" s="160"/>
      <c r="M626" s="160"/>
    </row>
    <row r="627" spans="2:13">
      <c r="B627" s="391"/>
      <c r="C627" s="160"/>
      <c r="D627" s="160"/>
      <c r="E627" s="160"/>
      <c r="F627" s="160"/>
      <c r="G627" s="160"/>
      <c r="H627" s="160"/>
      <c r="I627" s="160"/>
      <c r="J627" s="160"/>
      <c r="K627" s="160"/>
      <c r="L627" s="160"/>
      <c r="M627" s="160"/>
    </row>
    <row r="628" spans="2:13">
      <c r="B628" s="391"/>
      <c r="C628" s="160"/>
      <c r="D628" s="160"/>
      <c r="E628" s="160"/>
      <c r="F628" s="160"/>
      <c r="G628" s="160"/>
      <c r="H628" s="160"/>
      <c r="I628" s="160"/>
      <c r="J628" s="160"/>
      <c r="K628" s="160"/>
      <c r="L628" s="160"/>
      <c r="M628" s="160"/>
    </row>
    <row r="629" spans="2:13">
      <c r="B629" s="391"/>
      <c r="C629" s="160"/>
      <c r="D629" s="160"/>
      <c r="E629" s="160"/>
      <c r="F629" s="160"/>
      <c r="G629" s="160"/>
      <c r="H629" s="160"/>
      <c r="I629" s="160"/>
      <c r="J629" s="160"/>
      <c r="K629" s="160"/>
      <c r="L629" s="160"/>
      <c r="M629" s="160"/>
    </row>
    <row r="630" spans="2:13">
      <c r="B630" s="391"/>
      <c r="C630" s="160"/>
      <c r="D630" s="160"/>
      <c r="E630" s="160"/>
      <c r="F630" s="160"/>
      <c r="G630" s="160"/>
      <c r="H630" s="160"/>
      <c r="I630" s="160"/>
      <c r="J630" s="160"/>
      <c r="K630" s="160"/>
      <c r="L630" s="160"/>
      <c r="M630" s="160"/>
    </row>
    <row r="631" spans="2:13">
      <c r="B631" s="391"/>
      <c r="C631" s="160"/>
      <c r="D631" s="160"/>
      <c r="E631" s="160"/>
      <c r="F631" s="160"/>
      <c r="G631" s="160"/>
      <c r="H631" s="160"/>
      <c r="I631" s="160"/>
      <c r="J631" s="160"/>
      <c r="K631" s="160"/>
      <c r="L631" s="160"/>
      <c r="M631" s="160"/>
    </row>
    <row r="632" spans="2:13">
      <c r="B632" s="391"/>
      <c r="C632" s="160"/>
      <c r="D632" s="160"/>
      <c r="E632" s="160"/>
      <c r="F632" s="160"/>
      <c r="G632" s="160"/>
      <c r="H632" s="160"/>
      <c r="I632" s="160"/>
      <c r="J632" s="160"/>
      <c r="K632" s="160"/>
      <c r="L632" s="160"/>
      <c r="M632" s="160"/>
    </row>
    <row r="633" spans="2:13">
      <c r="B633" s="391"/>
      <c r="C633" s="160"/>
      <c r="D633" s="160"/>
      <c r="E633" s="160"/>
      <c r="F633" s="160"/>
      <c r="G633" s="160"/>
      <c r="H633" s="160"/>
      <c r="I633" s="160"/>
      <c r="J633" s="160"/>
      <c r="K633" s="160"/>
      <c r="L633" s="160"/>
      <c r="M633" s="160"/>
    </row>
    <row r="634" spans="2:13">
      <c r="B634" s="391"/>
      <c r="C634" s="160"/>
      <c r="D634" s="160"/>
      <c r="E634" s="160"/>
      <c r="F634" s="160"/>
      <c r="G634" s="160"/>
      <c r="H634" s="160"/>
      <c r="I634" s="160"/>
      <c r="J634" s="160"/>
      <c r="K634" s="160"/>
      <c r="L634" s="160"/>
      <c r="M634" s="160"/>
    </row>
    <row r="635" spans="2:13">
      <c r="B635" s="391"/>
      <c r="C635" s="160"/>
      <c r="D635" s="160"/>
      <c r="E635" s="160"/>
      <c r="F635" s="160"/>
      <c r="G635" s="160"/>
      <c r="H635" s="160"/>
      <c r="I635" s="160"/>
      <c r="J635" s="160"/>
      <c r="K635" s="160"/>
      <c r="L635" s="160"/>
      <c r="M635" s="160"/>
    </row>
    <row r="636" spans="2:13">
      <c r="B636" s="391"/>
      <c r="C636" s="160"/>
      <c r="D636" s="160"/>
      <c r="E636" s="160"/>
      <c r="F636" s="160"/>
      <c r="G636" s="160"/>
      <c r="H636" s="160"/>
      <c r="I636" s="160"/>
      <c r="J636" s="160"/>
      <c r="K636" s="160"/>
      <c r="L636" s="160"/>
      <c r="M636" s="160"/>
    </row>
    <row r="637" spans="2:13">
      <c r="B637" s="391"/>
      <c r="C637" s="160"/>
      <c r="D637" s="160"/>
      <c r="E637" s="160"/>
      <c r="F637" s="160"/>
      <c r="G637" s="160"/>
      <c r="H637" s="160"/>
      <c r="I637" s="160"/>
      <c r="J637" s="160"/>
      <c r="K637" s="160"/>
      <c r="L637" s="160"/>
      <c r="M637" s="160"/>
    </row>
    <row r="638" spans="2:13">
      <c r="B638" s="391"/>
      <c r="C638" s="160"/>
      <c r="D638" s="160"/>
      <c r="E638" s="160"/>
      <c r="F638" s="160"/>
      <c r="G638" s="160"/>
      <c r="H638" s="160"/>
      <c r="I638" s="160"/>
      <c r="J638" s="160"/>
      <c r="K638" s="160"/>
      <c r="L638" s="160"/>
      <c r="M638" s="160"/>
    </row>
    <row r="639" spans="2:13">
      <c r="B639" s="391"/>
      <c r="C639" s="160"/>
      <c r="D639" s="160"/>
      <c r="E639" s="160"/>
      <c r="F639" s="160"/>
      <c r="G639" s="160"/>
      <c r="H639" s="160"/>
      <c r="I639" s="160"/>
      <c r="J639" s="160"/>
      <c r="K639" s="160"/>
      <c r="L639" s="160"/>
      <c r="M639" s="160"/>
    </row>
    <row r="640" spans="2:13">
      <c r="B640" s="391"/>
      <c r="C640" s="160"/>
      <c r="D640" s="160"/>
      <c r="E640" s="160"/>
      <c r="F640" s="160"/>
      <c r="G640" s="160"/>
      <c r="H640" s="160"/>
      <c r="I640" s="160"/>
      <c r="J640" s="160"/>
      <c r="K640" s="160"/>
      <c r="L640" s="160"/>
      <c r="M640" s="160"/>
    </row>
    <row r="641" spans="2:13">
      <c r="B641" s="391"/>
      <c r="C641" s="160"/>
      <c r="D641" s="160"/>
      <c r="E641" s="160"/>
      <c r="F641" s="160"/>
      <c r="G641" s="160"/>
      <c r="H641" s="160"/>
      <c r="I641" s="160"/>
      <c r="J641" s="160"/>
      <c r="K641" s="160"/>
      <c r="L641" s="160"/>
      <c r="M641" s="160"/>
    </row>
    <row r="642" spans="2:13">
      <c r="B642" s="391"/>
      <c r="C642" s="160"/>
      <c r="D642" s="160"/>
      <c r="E642" s="160"/>
      <c r="F642" s="160"/>
      <c r="G642" s="160"/>
      <c r="H642" s="160"/>
      <c r="I642" s="160"/>
      <c r="J642" s="160"/>
      <c r="K642" s="160"/>
      <c r="L642" s="160"/>
      <c r="M642" s="160"/>
    </row>
    <row r="643" spans="2:13">
      <c r="B643" s="391"/>
      <c r="C643" s="160"/>
      <c r="D643" s="160"/>
      <c r="E643" s="160"/>
      <c r="F643" s="160"/>
      <c r="G643" s="160"/>
      <c r="H643" s="160"/>
      <c r="I643" s="160"/>
      <c r="J643" s="160"/>
      <c r="K643" s="160"/>
      <c r="L643" s="160"/>
      <c r="M643" s="160"/>
    </row>
    <row r="644" spans="2:13">
      <c r="B644" s="391"/>
      <c r="C644" s="160"/>
      <c r="D644" s="160"/>
      <c r="E644" s="160"/>
      <c r="F644" s="160"/>
      <c r="G644" s="160"/>
      <c r="H644" s="160"/>
      <c r="I644" s="160"/>
      <c r="J644" s="160"/>
      <c r="K644" s="160"/>
      <c r="L644" s="160"/>
      <c r="M644" s="160"/>
    </row>
    <row r="645" spans="2:13">
      <c r="B645" s="391"/>
      <c r="C645" s="160"/>
      <c r="D645" s="160"/>
      <c r="E645" s="160"/>
      <c r="F645" s="160"/>
      <c r="G645" s="160"/>
      <c r="H645" s="160"/>
      <c r="I645" s="160"/>
      <c r="J645" s="160"/>
      <c r="K645" s="160"/>
      <c r="L645" s="160"/>
      <c r="M645" s="160"/>
    </row>
    <row r="646" spans="2:13">
      <c r="B646" s="391"/>
      <c r="C646" s="160"/>
      <c r="D646" s="160"/>
      <c r="E646" s="160"/>
      <c r="F646" s="160"/>
      <c r="G646" s="160"/>
      <c r="H646" s="160"/>
      <c r="I646" s="160"/>
      <c r="J646" s="160"/>
      <c r="K646" s="160"/>
      <c r="L646" s="160"/>
      <c r="M646" s="160"/>
    </row>
    <row r="647" spans="2:13">
      <c r="B647" s="391"/>
      <c r="C647" s="160"/>
      <c r="D647" s="160"/>
      <c r="E647" s="160"/>
      <c r="F647" s="160"/>
      <c r="G647" s="160"/>
      <c r="H647" s="160"/>
      <c r="I647" s="160"/>
      <c r="J647" s="160"/>
      <c r="K647" s="160"/>
      <c r="L647" s="160"/>
      <c r="M647" s="160"/>
    </row>
    <row r="648" spans="2:13">
      <c r="B648" s="391"/>
      <c r="C648" s="160"/>
      <c r="D648" s="160"/>
      <c r="E648" s="160"/>
      <c r="F648" s="160"/>
      <c r="G648" s="160"/>
      <c r="H648" s="160"/>
      <c r="I648" s="160"/>
      <c r="J648" s="160"/>
      <c r="K648" s="160"/>
      <c r="L648" s="160"/>
      <c r="M648" s="160"/>
    </row>
    <row r="649" spans="2:13">
      <c r="B649" s="391"/>
      <c r="C649" s="160"/>
      <c r="D649" s="160"/>
      <c r="E649" s="160"/>
      <c r="F649" s="160"/>
      <c r="G649" s="160"/>
      <c r="H649" s="160"/>
      <c r="I649" s="160"/>
      <c r="J649" s="160"/>
      <c r="K649" s="160"/>
      <c r="L649" s="160"/>
      <c r="M649" s="160"/>
    </row>
    <row r="650" spans="2:13">
      <c r="B650" s="391"/>
      <c r="C650" s="160"/>
      <c r="D650" s="160"/>
      <c r="E650" s="160"/>
      <c r="F650" s="160"/>
      <c r="G650" s="160"/>
      <c r="H650" s="160"/>
      <c r="I650" s="160"/>
      <c r="J650" s="160"/>
      <c r="K650" s="160"/>
      <c r="L650" s="160"/>
      <c r="M650" s="160"/>
    </row>
    <row r="651" spans="2:13">
      <c r="B651" s="391"/>
      <c r="C651" s="160"/>
      <c r="D651" s="160"/>
      <c r="E651" s="160"/>
      <c r="F651" s="160"/>
      <c r="G651" s="160"/>
      <c r="H651" s="160"/>
      <c r="I651" s="160"/>
      <c r="J651" s="160"/>
      <c r="K651" s="160"/>
      <c r="L651" s="160"/>
      <c r="M651" s="160"/>
    </row>
    <row r="652" spans="2:13">
      <c r="B652" s="391"/>
      <c r="C652" s="160"/>
      <c r="D652" s="160"/>
      <c r="E652" s="160"/>
      <c r="F652" s="160"/>
      <c r="G652" s="160"/>
      <c r="H652" s="160"/>
      <c r="I652" s="160"/>
      <c r="J652" s="160"/>
      <c r="K652" s="160"/>
      <c r="L652" s="160"/>
      <c r="M652" s="160"/>
    </row>
    <row r="653" spans="2:13">
      <c r="B653" s="391"/>
      <c r="C653" s="160"/>
      <c r="D653" s="160"/>
      <c r="E653" s="160"/>
      <c r="F653" s="160"/>
      <c r="G653" s="160"/>
      <c r="H653" s="160"/>
      <c r="I653" s="160"/>
      <c r="J653" s="160"/>
      <c r="K653" s="160"/>
      <c r="L653" s="160"/>
      <c r="M653" s="160"/>
    </row>
    <row r="654" spans="2:13">
      <c r="B654" s="391"/>
      <c r="C654" s="160"/>
      <c r="D654" s="160"/>
      <c r="E654" s="160"/>
      <c r="F654" s="160"/>
      <c r="G654" s="160"/>
      <c r="H654" s="160"/>
      <c r="I654" s="160"/>
      <c r="J654" s="160"/>
      <c r="K654" s="160"/>
      <c r="L654" s="160"/>
      <c r="M654" s="160"/>
    </row>
    <row r="655" spans="2:13">
      <c r="B655" s="391"/>
      <c r="C655" s="160"/>
      <c r="D655" s="160"/>
      <c r="E655" s="160"/>
      <c r="F655" s="160"/>
      <c r="G655" s="160"/>
      <c r="H655" s="160"/>
      <c r="I655" s="160"/>
      <c r="J655" s="160"/>
      <c r="K655" s="160"/>
      <c r="L655" s="160"/>
      <c r="M655" s="160"/>
    </row>
    <row r="656" spans="2:13">
      <c r="B656" s="391"/>
      <c r="C656" s="160"/>
      <c r="D656" s="160"/>
      <c r="E656" s="160"/>
      <c r="F656" s="160"/>
      <c r="G656" s="160"/>
      <c r="H656" s="160"/>
      <c r="I656" s="160"/>
      <c r="J656" s="160"/>
      <c r="K656" s="160"/>
      <c r="L656" s="160"/>
      <c r="M656" s="160"/>
    </row>
    <row r="657" spans="2:13">
      <c r="B657" s="391"/>
      <c r="C657" s="160"/>
      <c r="D657" s="160"/>
      <c r="E657" s="160"/>
      <c r="F657" s="160"/>
      <c r="G657" s="160"/>
      <c r="H657" s="160"/>
      <c r="I657" s="160"/>
      <c r="J657" s="160"/>
      <c r="K657" s="160"/>
      <c r="L657" s="160"/>
      <c r="M657" s="160"/>
    </row>
    <row r="658" spans="2:13">
      <c r="B658" s="391"/>
      <c r="C658" s="160"/>
      <c r="D658" s="160"/>
      <c r="E658" s="160"/>
      <c r="F658" s="160"/>
      <c r="G658" s="160"/>
      <c r="H658" s="160"/>
      <c r="I658" s="160"/>
      <c r="J658" s="160"/>
      <c r="K658" s="160"/>
      <c r="L658" s="160"/>
      <c r="M658" s="160"/>
    </row>
    <row r="659" spans="2:13">
      <c r="B659" s="391"/>
      <c r="C659" s="160"/>
      <c r="D659" s="160"/>
      <c r="E659" s="160"/>
      <c r="F659" s="160"/>
      <c r="G659" s="160"/>
      <c r="H659" s="160"/>
      <c r="I659" s="160"/>
      <c r="J659" s="160"/>
      <c r="K659" s="160"/>
      <c r="L659" s="160"/>
      <c r="M659" s="160"/>
    </row>
    <row r="660" spans="2:13">
      <c r="B660" s="391"/>
      <c r="C660" s="160"/>
      <c r="D660" s="160"/>
      <c r="E660" s="160"/>
      <c r="F660" s="160"/>
      <c r="G660" s="160"/>
      <c r="H660" s="160"/>
      <c r="I660" s="160"/>
      <c r="J660" s="160"/>
      <c r="K660" s="160"/>
      <c r="L660" s="160"/>
      <c r="M660" s="160"/>
    </row>
    <row r="661" spans="2:13">
      <c r="B661" s="391"/>
      <c r="C661" s="160"/>
      <c r="D661" s="160"/>
      <c r="E661" s="160"/>
      <c r="F661" s="160"/>
      <c r="G661" s="160"/>
      <c r="H661" s="160"/>
      <c r="I661" s="160"/>
      <c r="J661" s="160"/>
      <c r="K661" s="160"/>
      <c r="L661" s="160"/>
      <c r="M661" s="160"/>
    </row>
    <row r="662" spans="2:13">
      <c r="B662" s="391"/>
      <c r="C662" s="160"/>
      <c r="D662" s="160"/>
      <c r="E662" s="160"/>
      <c r="F662" s="160"/>
      <c r="G662" s="160"/>
      <c r="H662" s="160"/>
      <c r="I662" s="160"/>
      <c r="J662" s="160"/>
      <c r="K662" s="160"/>
      <c r="L662" s="160"/>
      <c r="M662" s="160"/>
    </row>
    <row r="663" spans="2:13">
      <c r="B663" s="391"/>
      <c r="C663" s="160"/>
      <c r="D663" s="160"/>
      <c r="E663" s="160"/>
      <c r="F663" s="160"/>
      <c r="G663" s="160"/>
      <c r="H663" s="160"/>
      <c r="I663" s="160"/>
      <c r="J663" s="160"/>
      <c r="K663" s="160"/>
      <c r="L663" s="160"/>
      <c r="M663" s="160"/>
    </row>
    <row r="664" spans="2:13">
      <c r="B664" s="391"/>
      <c r="C664" s="160"/>
      <c r="D664" s="160"/>
      <c r="E664" s="160"/>
      <c r="F664" s="160"/>
      <c r="G664" s="160"/>
      <c r="H664" s="160"/>
      <c r="I664" s="160"/>
      <c r="J664" s="160"/>
      <c r="K664" s="160"/>
      <c r="L664" s="160"/>
      <c r="M664" s="160"/>
    </row>
    <row r="665" spans="2:13">
      <c r="B665" s="391"/>
      <c r="C665" s="160"/>
      <c r="D665" s="160"/>
      <c r="E665" s="160"/>
      <c r="F665" s="160"/>
      <c r="G665" s="160"/>
      <c r="H665" s="160"/>
      <c r="I665" s="160"/>
      <c r="J665" s="160"/>
      <c r="K665" s="160"/>
      <c r="L665" s="160"/>
      <c r="M665" s="160"/>
    </row>
    <row r="666" spans="2:13">
      <c r="B666" s="391"/>
      <c r="C666" s="160"/>
      <c r="D666" s="160"/>
      <c r="E666" s="160"/>
      <c r="F666" s="160"/>
      <c r="G666" s="160"/>
      <c r="H666" s="160"/>
      <c r="I666" s="160"/>
      <c r="J666" s="160"/>
      <c r="K666" s="160"/>
      <c r="L666" s="160"/>
      <c r="M666" s="160"/>
    </row>
    <row r="667" spans="2:13">
      <c r="B667" s="391"/>
      <c r="C667" s="160"/>
      <c r="D667" s="160"/>
      <c r="E667" s="160"/>
      <c r="F667" s="160"/>
      <c r="G667" s="160"/>
      <c r="H667" s="160"/>
      <c r="I667" s="160"/>
      <c r="J667" s="160"/>
      <c r="K667" s="160"/>
      <c r="L667" s="160"/>
      <c r="M667" s="160"/>
    </row>
    <row r="668" spans="2:13">
      <c r="B668" s="391"/>
      <c r="C668" s="160"/>
      <c r="D668" s="160"/>
      <c r="E668" s="160"/>
      <c r="F668" s="160"/>
      <c r="G668" s="160"/>
      <c r="H668" s="160"/>
      <c r="I668" s="160"/>
      <c r="J668" s="160"/>
      <c r="K668" s="160"/>
      <c r="L668" s="160"/>
      <c r="M668" s="160"/>
    </row>
    <row r="669" spans="2:13">
      <c r="B669" s="391"/>
      <c r="C669" s="160"/>
      <c r="D669" s="160"/>
      <c r="E669" s="160"/>
      <c r="F669" s="160"/>
      <c r="G669" s="160"/>
      <c r="H669" s="160"/>
      <c r="I669" s="160"/>
      <c r="J669" s="160"/>
      <c r="K669" s="160"/>
      <c r="L669" s="160"/>
      <c r="M669" s="160"/>
    </row>
    <row r="670" spans="2:13">
      <c r="B670" s="391"/>
      <c r="C670" s="160"/>
      <c r="D670" s="160"/>
      <c r="E670" s="160"/>
      <c r="F670" s="160"/>
      <c r="G670" s="160"/>
      <c r="H670" s="160"/>
      <c r="I670" s="160"/>
      <c r="J670" s="160"/>
      <c r="K670" s="160"/>
      <c r="L670" s="160"/>
      <c r="M670" s="160"/>
    </row>
    <row r="671" spans="2:13">
      <c r="B671" s="391"/>
      <c r="C671" s="160"/>
      <c r="D671" s="160"/>
      <c r="E671" s="160"/>
      <c r="F671" s="160"/>
      <c r="G671" s="160"/>
      <c r="H671" s="160"/>
      <c r="I671" s="160"/>
      <c r="J671" s="160"/>
      <c r="K671" s="160"/>
      <c r="L671" s="160"/>
      <c r="M671" s="160"/>
    </row>
    <row r="672" spans="2:13">
      <c r="B672" s="391"/>
      <c r="C672" s="160"/>
      <c r="D672" s="160"/>
      <c r="E672" s="160"/>
      <c r="F672" s="160"/>
      <c r="G672" s="160"/>
      <c r="H672" s="160"/>
      <c r="I672" s="160"/>
      <c r="J672" s="160"/>
      <c r="K672" s="160"/>
      <c r="L672" s="160"/>
      <c r="M672" s="160"/>
    </row>
    <row r="673" spans="2:13">
      <c r="B673" s="391"/>
      <c r="C673" s="160"/>
      <c r="D673" s="160"/>
      <c r="E673" s="160"/>
      <c r="F673" s="160"/>
      <c r="G673" s="160"/>
      <c r="H673" s="160"/>
      <c r="I673" s="160"/>
      <c r="J673" s="160"/>
      <c r="K673" s="160"/>
      <c r="L673" s="160"/>
      <c r="M673" s="160"/>
    </row>
    <row r="674" spans="2:13">
      <c r="B674" s="391"/>
      <c r="C674" s="160"/>
      <c r="D674" s="160"/>
      <c r="E674" s="160"/>
      <c r="F674" s="160"/>
      <c r="G674" s="160"/>
      <c r="H674" s="160"/>
      <c r="I674" s="160"/>
      <c r="J674" s="160"/>
      <c r="K674" s="160"/>
      <c r="L674" s="160"/>
      <c r="M674" s="160"/>
    </row>
    <row r="675" spans="2:13">
      <c r="B675" s="391"/>
      <c r="C675" s="160"/>
      <c r="D675" s="160"/>
      <c r="E675" s="160"/>
      <c r="F675" s="160"/>
      <c r="G675" s="160"/>
      <c r="H675" s="160"/>
      <c r="I675" s="160"/>
      <c r="J675" s="160"/>
      <c r="K675" s="160"/>
      <c r="L675" s="160"/>
      <c r="M675" s="160"/>
    </row>
    <row r="676" spans="2:13">
      <c r="B676" s="391"/>
      <c r="C676" s="160"/>
      <c r="D676" s="160"/>
      <c r="E676" s="160"/>
      <c r="F676" s="160"/>
      <c r="G676" s="160"/>
      <c r="H676" s="160"/>
      <c r="I676" s="160"/>
      <c r="J676" s="160"/>
      <c r="K676" s="160"/>
      <c r="L676" s="160"/>
      <c r="M676" s="160"/>
    </row>
    <row r="677" spans="2:13">
      <c r="B677" s="391"/>
      <c r="C677" s="160"/>
      <c r="D677" s="160"/>
      <c r="E677" s="160"/>
      <c r="F677" s="160"/>
      <c r="G677" s="160"/>
      <c r="H677" s="160"/>
      <c r="I677" s="160"/>
      <c r="J677" s="160"/>
      <c r="K677" s="160"/>
      <c r="L677" s="160"/>
      <c r="M677" s="160"/>
    </row>
    <row r="678" spans="2:13">
      <c r="B678" s="391"/>
      <c r="C678" s="160"/>
      <c r="D678" s="160"/>
      <c r="E678" s="160"/>
      <c r="F678" s="160"/>
      <c r="G678" s="160"/>
      <c r="H678" s="160"/>
      <c r="I678" s="160"/>
      <c r="J678" s="160"/>
      <c r="K678" s="160"/>
      <c r="L678" s="160"/>
      <c r="M678" s="160"/>
    </row>
    <row r="679" spans="2:13">
      <c r="B679" s="391"/>
      <c r="C679" s="160"/>
      <c r="D679" s="160"/>
      <c r="E679" s="160"/>
      <c r="F679" s="160"/>
      <c r="G679" s="160"/>
      <c r="H679" s="160"/>
      <c r="I679" s="160"/>
      <c r="J679" s="160"/>
      <c r="K679" s="160"/>
      <c r="L679" s="160"/>
      <c r="M679" s="160"/>
    </row>
    <row r="680" spans="2:13">
      <c r="B680" s="391"/>
      <c r="C680" s="160"/>
      <c r="D680" s="160"/>
      <c r="E680" s="160"/>
      <c r="F680" s="160"/>
      <c r="G680" s="160"/>
      <c r="H680" s="160"/>
      <c r="I680" s="160"/>
      <c r="J680" s="160"/>
      <c r="K680" s="160"/>
      <c r="L680" s="160"/>
      <c r="M680" s="160"/>
    </row>
    <row r="681" spans="2:13">
      <c r="B681" s="391"/>
      <c r="C681" s="160"/>
      <c r="D681" s="160"/>
      <c r="E681" s="160"/>
      <c r="F681" s="160"/>
      <c r="G681" s="160"/>
      <c r="H681" s="160"/>
      <c r="I681" s="160"/>
      <c r="J681" s="160"/>
      <c r="K681" s="160"/>
      <c r="L681" s="160"/>
      <c r="M681" s="160"/>
    </row>
    <row r="682" spans="2:13">
      <c r="B682" s="391"/>
      <c r="C682" s="160"/>
      <c r="D682" s="160"/>
      <c r="E682" s="160"/>
      <c r="F682" s="160"/>
      <c r="G682" s="160"/>
      <c r="H682" s="160"/>
      <c r="I682" s="160"/>
      <c r="J682" s="160"/>
      <c r="K682" s="160"/>
      <c r="L682" s="160"/>
      <c r="M682" s="160"/>
    </row>
    <row r="683" spans="2:13">
      <c r="B683" s="391"/>
      <c r="C683" s="160"/>
      <c r="D683" s="160"/>
      <c r="E683" s="160"/>
      <c r="F683" s="160"/>
      <c r="G683" s="160"/>
      <c r="H683" s="160"/>
      <c r="I683" s="160"/>
      <c r="J683" s="160"/>
      <c r="K683" s="160"/>
      <c r="L683" s="160"/>
      <c r="M683" s="160"/>
    </row>
    <row r="684" spans="2:13">
      <c r="B684" s="391"/>
      <c r="C684" s="160"/>
      <c r="D684" s="160"/>
      <c r="E684" s="160"/>
      <c r="F684" s="160"/>
      <c r="G684" s="160"/>
      <c r="H684" s="160"/>
      <c r="I684" s="160"/>
      <c r="J684" s="160"/>
      <c r="K684" s="160"/>
      <c r="L684" s="160"/>
      <c r="M684" s="160"/>
    </row>
    <row r="685" spans="2:13">
      <c r="B685" s="391"/>
      <c r="C685" s="160"/>
      <c r="D685" s="160"/>
      <c r="E685" s="160"/>
      <c r="F685" s="160"/>
      <c r="G685" s="160"/>
      <c r="H685" s="160"/>
      <c r="I685" s="160"/>
      <c r="J685" s="160"/>
      <c r="K685" s="160"/>
      <c r="L685" s="160"/>
      <c r="M685" s="160"/>
    </row>
    <row r="686" spans="2:13">
      <c r="B686" s="391"/>
      <c r="C686" s="160"/>
      <c r="D686" s="160"/>
      <c r="E686" s="160"/>
      <c r="F686" s="160"/>
      <c r="G686" s="160"/>
      <c r="H686" s="160"/>
      <c r="I686" s="160"/>
      <c r="J686" s="160"/>
      <c r="K686" s="160"/>
      <c r="L686" s="160"/>
      <c r="M686" s="160"/>
    </row>
    <row r="687" spans="2:13">
      <c r="B687" s="391"/>
      <c r="C687" s="160"/>
      <c r="D687" s="160"/>
      <c r="E687" s="160"/>
      <c r="F687" s="160"/>
      <c r="G687" s="160"/>
      <c r="H687" s="160"/>
      <c r="I687" s="160"/>
      <c r="J687" s="160"/>
      <c r="K687" s="160"/>
      <c r="L687" s="160"/>
      <c r="M687" s="160"/>
    </row>
    <row r="688" spans="2:13">
      <c r="B688" s="391"/>
      <c r="C688" s="160"/>
      <c r="D688" s="160"/>
      <c r="E688" s="160"/>
      <c r="F688" s="160"/>
      <c r="G688" s="160"/>
      <c r="H688" s="160"/>
      <c r="I688" s="160"/>
      <c r="J688" s="160"/>
      <c r="K688" s="160"/>
      <c r="L688" s="160"/>
      <c r="M688" s="160"/>
    </row>
    <row r="689" spans="2:13">
      <c r="B689" s="391"/>
      <c r="C689" s="160"/>
      <c r="D689" s="160"/>
      <c r="E689" s="160"/>
      <c r="F689" s="160"/>
      <c r="G689" s="160"/>
      <c r="H689" s="160"/>
      <c r="I689" s="160"/>
      <c r="J689" s="160"/>
      <c r="K689" s="160"/>
      <c r="L689" s="160"/>
      <c r="M689" s="160"/>
    </row>
    <row r="690" spans="2:13">
      <c r="B690" s="391"/>
      <c r="C690" s="160"/>
      <c r="D690" s="160"/>
      <c r="E690" s="160"/>
      <c r="F690" s="160"/>
      <c r="G690" s="160"/>
      <c r="H690" s="160"/>
      <c r="I690" s="160"/>
      <c r="J690" s="160"/>
      <c r="K690" s="160"/>
      <c r="L690" s="160"/>
      <c r="M690" s="160"/>
    </row>
    <row r="691" spans="2:13">
      <c r="B691" s="391"/>
      <c r="C691" s="160"/>
      <c r="D691" s="160"/>
      <c r="E691" s="160"/>
      <c r="F691" s="160"/>
      <c r="G691" s="160"/>
      <c r="H691" s="160"/>
      <c r="I691" s="160"/>
      <c r="J691" s="160"/>
      <c r="K691" s="160"/>
      <c r="L691" s="160"/>
      <c r="M691" s="160"/>
    </row>
    <row r="692" spans="2:13">
      <c r="B692" s="391"/>
      <c r="C692" s="160"/>
      <c r="D692" s="160"/>
      <c r="E692" s="160"/>
      <c r="F692" s="160"/>
      <c r="G692" s="160"/>
      <c r="H692" s="160"/>
      <c r="I692" s="160"/>
      <c r="J692" s="160"/>
      <c r="K692" s="160"/>
      <c r="L692" s="160"/>
      <c r="M692" s="160"/>
    </row>
    <row r="693" spans="2:13">
      <c r="B693" s="391"/>
      <c r="C693" s="160"/>
      <c r="D693" s="160"/>
      <c r="E693" s="160"/>
      <c r="F693" s="160"/>
      <c r="G693" s="160"/>
      <c r="H693" s="160"/>
      <c r="I693" s="160"/>
      <c r="J693" s="160"/>
      <c r="K693" s="160"/>
      <c r="L693" s="160"/>
      <c r="M693" s="160"/>
    </row>
    <row r="694" spans="2:13">
      <c r="B694" s="391"/>
      <c r="C694" s="160"/>
      <c r="D694" s="160"/>
      <c r="E694" s="160"/>
      <c r="F694" s="160"/>
      <c r="G694" s="160"/>
      <c r="H694" s="160"/>
      <c r="I694" s="160"/>
      <c r="J694" s="160"/>
      <c r="K694" s="160"/>
      <c r="L694" s="160"/>
      <c r="M694" s="160"/>
    </row>
    <row r="695" spans="2:13">
      <c r="B695" s="391"/>
      <c r="C695" s="160"/>
      <c r="D695" s="160"/>
      <c r="E695" s="160"/>
      <c r="F695" s="160"/>
      <c r="G695" s="160"/>
      <c r="H695" s="160"/>
      <c r="I695" s="160"/>
      <c r="J695" s="160"/>
      <c r="K695" s="160"/>
      <c r="L695" s="160"/>
      <c r="M695" s="160"/>
    </row>
    <row r="696" spans="2:13">
      <c r="B696" s="391"/>
      <c r="C696" s="160"/>
      <c r="D696" s="160"/>
      <c r="E696" s="160"/>
      <c r="F696" s="160"/>
      <c r="G696" s="160"/>
      <c r="H696" s="160"/>
      <c r="I696" s="160"/>
      <c r="J696" s="160"/>
      <c r="K696" s="160"/>
      <c r="L696" s="160"/>
      <c r="M696" s="160"/>
    </row>
    <row r="697" spans="2:13">
      <c r="B697" s="391"/>
      <c r="C697" s="160"/>
      <c r="D697" s="160"/>
      <c r="E697" s="160"/>
      <c r="F697" s="160"/>
      <c r="G697" s="160"/>
      <c r="H697" s="160"/>
      <c r="I697" s="160"/>
      <c r="J697" s="160"/>
      <c r="K697" s="160"/>
      <c r="L697" s="160"/>
      <c r="M697" s="160"/>
    </row>
    <row r="698" spans="2:13">
      <c r="B698" s="391"/>
      <c r="C698" s="160"/>
      <c r="D698" s="160"/>
      <c r="E698" s="160"/>
      <c r="F698" s="160"/>
      <c r="G698" s="160"/>
      <c r="H698" s="160"/>
      <c r="I698" s="160"/>
      <c r="J698" s="160"/>
      <c r="K698" s="160"/>
      <c r="L698" s="160"/>
      <c r="M698" s="160"/>
    </row>
    <row r="699" spans="2:13">
      <c r="B699" s="391"/>
      <c r="C699" s="160"/>
      <c r="D699" s="160"/>
      <c r="E699" s="160"/>
      <c r="F699" s="160"/>
      <c r="G699" s="160"/>
      <c r="H699" s="160"/>
      <c r="I699" s="160"/>
      <c r="J699" s="160"/>
      <c r="K699" s="160"/>
      <c r="L699" s="160"/>
      <c r="M699" s="160"/>
    </row>
    <row r="700" spans="2:13">
      <c r="B700" s="391"/>
      <c r="C700" s="160"/>
      <c r="D700" s="160"/>
      <c r="E700" s="160"/>
      <c r="F700" s="160"/>
      <c r="G700" s="160"/>
      <c r="H700" s="160"/>
      <c r="I700" s="160"/>
      <c r="J700" s="160"/>
      <c r="K700" s="160"/>
      <c r="L700" s="160"/>
      <c r="M700" s="160"/>
    </row>
    <row r="701" spans="2:13">
      <c r="B701" s="391"/>
      <c r="C701" s="160"/>
      <c r="D701" s="160"/>
      <c r="E701" s="160"/>
      <c r="F701" s="160"/>
      <c r="G701" s="160"/>
      <c r="H701" s="160"/>
      <c r="I701" s="160"/>
      <c r="J701" s="160"/>
      <c r="K701" s="160"/>
      <c r="L701" s="160"/>
      <c r="M701" s="160"/>
    </row>
    <row r="702" spans="2:13">
      <c r="B702" s="391"/>
      <c r="C702" s="160"/>
      <c r="D702" s="160"/>
      <c r="E702" s="160"/>
      <c r="F702" s="160"/>
      <c r="G702" s="160"/>
      <c r="H702" s="160"/>
      <c r="I702" s="160"/>
      <c r="J702" s="160"/>
      <c r="K702" s="160"/>
      <c r="L702" s="160"/>
      <c r="M702" s="160"/>
    </row>
    <row r="703" spans="2:13">
      <c r="B703" s="391"/>
      <c r="C703" s="160"/>
      <c r="D703" s="160"/>
      <c r="E703" s="160"/>
      <c r="F703" s="160"/>
      <c r="G703" s="160"/>
      <c r="H703" s="160"/>
      <c r="I703" s="160"/>
      <c r="J703" s="160"/>
      <c r="K703" s="160"/>
      <c r="L703" s="160"/>
      <c r="M703" s="160"/>
    </row>
    <row r="704" spans="2:13">
      <c r="B704" s="391"/>
      <c r="C704" s="160"/>
      <c r="D704" s="160"/>
      <c r="E704" s="160"/>
      <c r="F704" s="160"/>
      <c r="G704" s="160"/>
      <c r="H704" s="160"/>
      <c r="I704" s="160"/>
      <c r="J704" s="160"/>
      <c r="K704" s="160"/>
      <c r="L704" s="160"/>
      <c r="M704" s="160"/>
    </row>
    <row r="705" spans="2:13">
      <c r="B705" s="391"/>
      <c r="C705" s="160"/>
      <c r="D705" s="160"/>
      <c r="E705" s="160"/>
      <c r="F705" s="160"/>
      <c r="G705" s="160"/>
      <c r="H705" s="160"/>
      <c r="I705" s="160"/>
      <c r="J705" s="160"/>
      <c r="K705" s="160"/>
      <c r="L705" s="160"/>
      <c r="M705" s="160"/>
    </row>
    <row r="706" spans="2:13">
      <c r="B706" s="391"/>
      <c r="C706" s="160"/>
      <c r="D706" s="160"/>
      <c r="E706" s="160"/>
      <c r="F706" s="160"/>
      <c r="G706" s="160"/>
      <c r="H706" s="160"/>
      <c r="I706" s="160"/>
      <c r="J706" s="160"/>
      <c r="K706" s="160"/>
      <c r="L706" s="160"/>
      <c r="M706" s="160"/>
    </row>
    <row r="707" spans="2:13">
      <c r="B707" s="391"/>
      <c r="C707" s="160"/>
      <c r="D707" s="160"/>
      <c r="E707" s="160"/>
      <c r="F707" s="160"/>
      <c r="G707" s="160"/>
      <c r="H707" s="160"/>
      <c r="I707" s="160"/>
      <c r="J707" s="160"/>
      <c r="K707" s="160"/>
      <c r="L707" s="160"/>
      <c r="M707" s="160"/>
    </row>
    <row r="708" spans="2:13">
      <c r="B708" s="391"/>
      <c r="C708" s="160"/>
      <c r="D708" s="160"/>
      <c r="E708" s="160"/>
      <c r="F708" s="160"/>
      <c r="G708" s="160"/>
      <c r="H708" s="160"/>
      <c r="I708" s="160"/>
      <c r="J708" s="160"/>
      <c r="K708" s="160"/>
      <c r="L708" s="160"/>
      <c r="M708" s="160"/>
    </row>
    <row r="709" spans="2:13">
      <c r="B709" s="391"/>
      <c r="C709" s="160"/>
      <c r="D709" s="160"/>
      <c r="E709" s="160"/>
      <c r="F709" s="160"/>
      <c r="G709" s="160"/>
      <c r="H709" s="160"/>
      <c r="I709" s="160"/>
      <c r="J709" s="160"/>
      <c r="K709" s="160"/>
      <c r="L709" s="160"/>
      <c r="M709" s="160"/>
    </row>
    <row r="710" spans="2:13">
      <c r="B710" s="391"/>
      <c r="C710" s="160"/>
      <c r="D710" s="160"/>
      <c r="E710" s="160"/>
      <c r="F710" s="160"/>
      <c r="G710" s="160"/>
      <c r="H710" s="160"/>
      <c r="I710" s="160"/>
      <c r="J710" s="160"/>
      <c r="K710" s="160"/>
      <c r="L710" s="160"/>
      <c r="M710" s="160"/>
    </row>
    <row r="711" spans="2:13">
      <c r="B711" s="391"/>
      <c r="C711" s="160"/>
      <c r="D711" s="160"/>
      <c r="E711" s="160"/>
      <c r="F711" s="160"/>
      <c r="G711" s="160"/>
      <c r="H711" s="160"/>
      <c r="I711" s="160"/>
      <c r="J711" s="160"/>
      <c r="K711" s="160"/>
      <c r="L711" s="160"/>
      <c r="M711" s="160"/>
    </row>
    <row r="712" spans="2:13">
      <c r="B712" s="391"/>
      <c r="C712" s="160"/>
      <c r="D712" s="160"/>
      <c r="E712" s="160"/>
      <c r="F712" s="160"/>
      <c r="G712" s="160"/>
      <c r="H712" s="160"/>
      <c r="I712" s="160"/>
      <c r="J712" s="160"/>
      <c r="K712" s="160"/>
      <c r="L712" s="160"/>
      <c r="M712" s="160"/>
    </row>
    <row r="713" spans="2:13">
      <c r="B713" s="391"/>
      <c r="C713" s="160"/>
      <c r="D713" s="160"/>
      <c r="E713" s="160"/>
      <c r="F713" s="160"/>
      <c r="G713" s="160"/>
      <c r="H713" s="160"/>
      <c r="I713" s="160"/>
      <c r="J713" s="160"/>
      <c r="K713" s="160"/>
      <c r="L713" s="160"/>
      <c r="M713" s="160"/>
    </row>
    <row r="714" spans="2:13">
      <c r="B714" s="391"/>
      <c r="C714" s="160"/>
      <c r="D714" s="160"/>
      <c r="E714" s="160"/>
      <c r="F714" s="160"/>
      <c r="G714" s="160"/>
      <c r="H714" s="160"/>
      <c r="I714" s="160"/>
      <c r="J714" s="160"/>
      <c r="K714" s="160"/>
      <c r="L714" s="160"/>
      <c r="M714" s="160"/>
    </row>
    <row r="715" spans="2:13">
      <c r="B715" s="391"/>
      <c r="C715" s="160"/>
      <c r="D715" s="160"/>
      <c r="E715" s="160"/>
      <c r="F715" s="160"/>
      <c r="G715" s="160"/>
      <c r="H715" s="160"/>
      <c r="I715" s="160"/>
      <c r="J715" s="160"/>
      <c r="K715" s="160"/>
      <c r="L715" s="160"/>
      <c r="M715" s="160"/>
    </row>
    <row r="716" spans="2:13">
      <c r="B716" s="391"/>
      <c r="C716" s="160"/>
      <c r="D716" s="160"/>
      <c r="E716" s="160"/>
      <c r="F716" s="160"/>
      <c r="G716" s="160"/>
      <c r="H716" s="160"/>
      <c r="I716" s="160"/>
      <c r="J716" s="160"/>
      <c r="K716" s="160"/>
      <c r="L716" s="160"/>
      <c r="M716" s="160"/>
    </row>
    <row r="717" spans="2:13">
      <c r="B717" s="391"/>
      <c r="C717" s="160"/>
      <c r="D717" s="160"/>
      <c r="E717" s="160"/>
      <c r="F717" s="160"/>
      <c r="G717" s="160"/>
      <c r="H717" s="160"/>
      <c r="I717" s="160"/>
      <c r="J717" s="160"/>
      <c r="K717" s="160"/>
      <c r="L717" s="160"/>
      <c r="M717" s="160"/>
    </row>
    <row r="718" spans="2:13">
      <c r="B718" s="391"/>
      <c r="C718" s="160"/>
      <c r="D718" s="160"/>
      <c r="E718" s="160"/>
      <c r="F718" s="160"/>
      <c r="G718" s="160"/>
      <c r="H718" s="160"/>
      <c r="I718" s="160"/>
      <c r="J718" s="160"/>
      <c r="K718" s="160"/>
      <c r="L718" s="160"/>
      <c r="M718" s="160"/>
    </row>
    <row r="719" spans="2:13">
      <c r="B719" s="391"/>
      <c r="C719" s="160"/>
      <c r="D719" s="160"/>
      <c r="E719" s="160"/>
      <c r="F719" s="160"/>
      <c r="G719" s="160"/>
      <c r="H719" s="160"/>
      <c r="I719" s="160"/>
      <c r="J719" s="160"/>
      <c r="K719" s="160"/>
      <c r="L719" s="160"/>
      <c r="M719" s="160"/>
    </row>
    <row r="720" spans="2:13">
      <c r="B720" s="391"/>
      <c r="C720" s="160"/>
      <c r="D720" s="160"/>
      <c r="E720" s="160"/>
      <c r="F720" s="160"/>
      <c r="G720" s="160"/>
      <c r="H720" s="160"/>
      <c r="I720" s="160"/>
      <c r="J720" s="160"/>
      <c r="K720" s="160"/>
      <c r="L720" s="160"/>
      <c r="M720" s="160"/>
    </row>
    <row r="721" spans="2:13">
      <c r="B721" s="391"/>
      <c r="C721" s="160"/>
      <c r="D721" s="160"/>
      <c r="E721" s="160"/>
      <c r="F721" s="160"/>
      <c r="G721" s="160"/>
      <c r="H721" s="160"/>
      <c r="I721" s="160"/>
      <c r="J721" s="160"/>
      <c r="K721" s="160"/>
      <c r="L721" s="160"/>
      <c r="M721" s="160"/>
    </row>
    <row r="722" spans="2:13">
      <c r="B722" s="391"/>
      <c r="C722" s="160"/>
      <c r="D722" s="160"/>
      <c r="E722" s="160"/>
      <c r="F722" s="160"/>
      <c r="G722" s="160"/>
      <c r="H722" s="160"/>
      <c r="I722" s="160"/>
      <c r="J722" s="160"/>
      <c r="K722" s="160"/>
      <c r="L722" s="160"/>
      <c r="M722" s="160"/>
    </row>
    <row r="723" spans="2:13">
      <c r="B723" s="391"/>
      <c r="C723" s="160"/>
      <c r="D723" s="160"/>
      <c r="E723" s="160"/>
      <c r="F723" s="160"/>
      <c r="G723" s="160"/>
      <c r="H723" s="160"/>
      <c r="I723" s="160"/>
      <c r="J723" s="160"/>
      <c r="K723" s="160"/>
      <c r="L723" s="160"/>
      <c r="M723" s="160"/>
    </row>
    <row r="724" spans="2:13">
      <c r="B724" s="391"/>
      <c r="C724" s="160"/>
      <c r="D724" s="160"/>
      <c r="E724" s="160"/>
      <c r="F724" s="160"/>
      <c r="G724" s="160"/>
      <c r="H724" s="160"/>
      <c r="I724" s="160"/>
      <c r="J724" s="160"/>
      <c r="K724" s="160"/>
      <c r="L724" s="160"/>
      <c r="M724" s="160"/>
    </row>
    <row r="725" spans="2:13">
      <c r="B725" s="391"/>
      <c r="C725" s="160"/>
      <c r="D725" s="160"/>
      <c r="E725" s="160"/>
      <c r="F725" s="160"/>
      <c r="G725" s="160"/>
      <c r="H725" s="160"/>
      <c r="I725" s="160"/>
      <c r="J725" s="160"/>
      <c r="K725" s="160"/>
      <c r="L725" s="160"/>
      <c r="M725" s="160"/>
    </row>
    <row r="726" spans="2:13">
      <c r="B726" s="391"/>
      <c r="C726" s="160"/>
      <c r="D726" s="160"/>
      <c r="E726" s="160"/>
      <c r="F726" s="160"/>
      <c r="G726" s="160"/>
      <c r="H726" s="160"/>
      <c r="I726" s="160"/>
      <c r="J726" s="160"/>
      <c r="K726" s="160"/>
      <c r="L726" s="160"/>
      <c r="M726" s="160"/>
    </row>
    <row r="727" spans="2:13">
      <c r="B727" s="391"/>
      <c r="C727" s="160"/>
      <c r="D727" s="160"/>
      <c r="E727" s="160"/>
      <c r="F727" s="160"/>
      <c r="G727" s="160"/>
      <c r="H727" s="160"/>
      <c r="I727" s="160"/>
      <c r="J727" s="160"/>
      <c r="K727" s="160"/>
      <c r="L727" s="160"/>
      <c r="M727" s="160"/>
    </row>
    <row r="728" spans="2:13">
      <c r="B728" s="391"/>
      <c r="C728" s="160"/>
      <c r="D728" s="160"/>
      <c r="E728" s="160"/>
      <c r="F728" s="160"/>
      <c r="G728" s="160"/>
      <c r="H728" s="160"/>
      <c r="I728" s="160"/>
      <c r="J728" s="160"/>
      <c r="K728" s="160"/>
      <c r="L728" s="160"/>
      <c r="M728" s="160"/>
    </row>
    <row r="729" spans="2:13">
      <c r="B729" s="391"/>
      <c r="C729" s="160"/>
      <c r="D729" s="160"/>
      <c r="E729" s="160"/>
      <c r="F729" s="160"/>
      <c r="G729" s="160"/>
      <c r="H729" s="160"/>
      <c r="I729" s="160"/>
      <c r="J729" s="160"/>
      <c r="K729" s="160"/>
      <c r="L729" s="160"/>
      <c r="M729" s="160"/>
    </row>
    <row r="730" spans="2:13">
      <c r="B730" s="391"/>
      <c r="C730" s="160"/>
      <c r="D730" s="160"/>
      <c r="E730" s="160"/>
      <c r="F730" s="160"/>
      <c r="G730" s="160"/>
      <c r="H730" s="160"/>
      <c r="I730" s="160"/>
      <c r="J730" s="160"/>
      <c r="K730" s="160"/>
      <c r="L730" s="160"/>
      <c r="M730" s="160"/>
    </row>
    <row r="731" spans="2:13">
      <c r="B731" s="391"/>
      <c r="C731" s="160"/>
      <c r="D731" s="160"/>
      <c r="E731" s="160"/>
      <c r="F731" s="160"/>
      <c r="G731" s="160"/>
      <c r="H731" s="160"/>
      <c r="I731" s="160"/>
      <c r="J731" s="160"/>
      <c r="K731" s="160"/>
      <c r="L731" s="160"/>
      <c r="M731" s="160"/>
    </row>
    <row r="732" spans="2:13">
      <c r="B732" s="391"/>
      <c r="C732" s="160"/>
      <c r="D732" s="160"/>
      <c r="E732" s="160"/>
      <c r="F732" s="160"/>
      <c r="G732" s="160"/>
      <c r="H732" s="160"/>
      <c r="I732" s="160"/>
      <c r="J732" s="160"/>
      <c r="K732" s="160"/>
      <c r="L732" s="160"/>
      <c r="M732" s="160"/>
    </row>
    <row r="733" spans="2:13">
      <c r="B733" s="391"/>
      <c r="C733" s="160"/>
      <c r="D733" s="160"/>
      <c r="E733" s="160"/>
      <c r="F733" s="160"/>
      <c r="G733" s="160"/>
      <c r="H733" s="160"/>
      <c r="I733" s="160"/>
      <c r="J733" s="160"/>
      <c r="K733" s="160"/>
      <c r="L733" s="160"/>
      <c r="M733" s="160"/>
    </row>
    <row r="734" spans="2:13">
      <c r="B734" s="391"/>
      <c r="C734" s="160"/>
      <c r="D734" s="160"/>
      <c r="E734" s="160"/>
      <c r="F734" s="160"/>
      <c r="G734" s="160"/>
      <c r="H734" s="160"/>
      <c r="I734" s="160"/>
      <c r="J734" s="160"/>
      <c r="K734" s="160"/>
      <c r="L734" s="160"/>
      <c r="M734" s="160"/>
    </row>
    <row r="735" spans="2:13">
      <c r="B735" s="391"/>
      <c r="C735" s="160"/>
      <c r="D735" s="160"/>
      <c r="E735" s="160"/>
      <c r="F735" s="160"/>
      <c r="G735" s="160"/>
      <c r="H735" s="160"/>
      <c r="I735" s="160"/>
      <c r="J735" s="160"/>
      <c r="K735" s="160"/>
      <c r="L735" s="160"/>
      <c r="M735" s="160"/>
    </row>
    <row r="736" spans="2:13">
      <c r="B736" s="391"/>
      <c r="C736" s="160"/>
      <c r="D736" s="160"/>
      <c r="E736" s="160"/>
      <c r="F736" s="160"/>
      <c r="G736" s="160"/>
      <c r="H736" s="160"/>
      <c r="I736" s="160"/>
      <c r="J736" s="160"/>
      <c r="K736" s="160"/>
      <c r="L736" s="160"/>
      <c r="M736" s="160"/>
    </row>
    <row r="737" spans="2:13">
      <c r="B737" s="391"/>
      <c r="C737" s="160"/>
      <c r="D737" s="160"/>
      <c r="E737" s="160"/>
      <c r="F737" s="160"/>
      <c r="G737" s="160"/>
      <c r="H737" s="160"/>
      <c r="I737" s="160"/>
      <c r="J737" s="160"/>
      <c r="K737" s="160"/>
      <c r="L737" s="160"/>
      <c r="M737" s="160"/>
    </row>
    <row r="738" spans="2:13">
      <c r="B738" s="391"/>
      <c r="C738" s="160"/>
      <c r="D738" s="160"/>
      <c r="E738" s="160"/>
      <c r="F738" s="160"/>
      <c r="G738" s="160"/>
      <c r="H738" s="160"/>
      <c r="I738" s="160"/>
      <c r="J738" s="160"/>
      <c r="K738" s="160"/>
      <c r="L738" s="160"/>
      <c r="M738" s="160"/>
    </row>
    <row r="739" spans="2:13">
      <c r="B739" s="391"/>
      <c r="C739" s="160"/>
      <c r="D739" s="160"/>
      <c r="E739" s="160"/>
      <c r="F739" s="160"/>
      <c r="G739" s="160"/>
      <c r="H739" s="160"/>
      <c r="I739" s="160"/>
      <c r="J739" s="160"/>
      <c r="K739" s="160"/>
      <c r="L739" s="160"/>
      <c r="M739" s="160"/>
    </row>
    <row r="740" spans="2:13">
      <c r="B740" s="391"/>
      <c r="C740" s="160"/>
      <c r="D740" s="160"/>
      <c r="E740" s="160"/>
      <c r="F740" s="160"/>
      <c r="G740" s="160"/>
      <c r="H740" s="160"/>
      <c r="I740" s="160"/>
      <c r="J740" s="160"/>
      <c r="K740" s="160"/>
      <c r="L740" s="160"/>
      <c r="M740" s="160"/>
    </row>
    <row r="741" spans="2:13">
      <c r="B741" s="391"/>
      <c r="C741" s="160"/>
      <c r="D741" s="160"/>
      <c r="E741" s="160"/>
      <c r="F741" s="160"/>
      <c r="G741" s="160"/>
      <c r="H741" s="160"/>
      <c r="I741" s="160"/>
      <c r="J741" s="160"/>
      <c r="K741" s="160"/>
      <c r="L741" s="160"/>
      <c r="M741" s="160"/>
    </row>
    <row r="742" spans="2:13">
      <c r="B742" s="391"/>
      <c r="C742" s="160"/>
      <c r="D742" s="160"/>
      <c r="E742" s="160"/>
      <c r="F742" s="160"/>
      <c r="G742" s="160"/>
      <c r="H742" s="160"/>
      <c r="I742" s="160"/>
      <c r="J742" s="160"/>
      <c r="K742" s="160"/>
      <c r="L742" s="160"/>
      <c r="M742" s="160"/>
    </row>
    <row r="743" spans="2:13">
      <c r="B743" s="391"/>
      <c r="C743" s="160"/>
      <c r="D743" s="160"/>
      <c r="E743" s="160"/>
      <c r="F743" s="160"/>
      <c r="G743" s="160"/>
      <c r="H743" s="160"/>
      <c r="I743" s="160"/>
      <c r="J743" s="160"/>
      <c r="K743" s="160"/>
      <c r="L743" s="160"/>
      <c r="M743" s="160"/>
    </row>
    <row r="744" spans="2:13">
      <c r="B744" s="391"/>
      <c r="C744" s="160"/>
      <c r="D744" s="160"/>
      <c r="E744" s="160"/>
      <c r="F744" s="160"/>
      <c r="G744" s="160"/>
      <c r="H744" s="160"/>
      <c r="I744" s="160"/>
      <c r="J744" s="160"/>
      <c r="K744" s="160"/>
      <c r="L744" s="160"/>
      <c r="M744" s="160"/>
    </row>
    <row r="745" spans="2:13">
      <c r="B745" s="391"/>
      <c r="C745" s="160"/>
      <c r="D745" s="160"/>
      <c r="E745" s="160"/>
      <c r="F745" s="160"/>
      <c r="G745" s="160"/>
      <c r="H745" s="160"/>
      <c r="I745" s="160"/>
      <c r="J745" s="160"/>
      <c r="K745" s="160"/>
      <c r="L745" s="160"/>
      <c r="M745" s="160"/>
    </row>
    <row r="746" spans="2:13">
      <c r="B746" s="391"/>
      <c r="C746" s="160"/>
      <c r="D746" s="160"/>
      <c r="E746" s="160"/>
      <c r="F746" s="160"/>
      <c r="G746" s="160"/>
      <c r="H746" s="160"/>
      <c r="I746" s="160"/>
      <c r="J746" s="160"/>
      <c r="K746" s="160"/>
      <c r="L746" s="160"/>
      <c r="M746" s="160"/>
    </row>
    <row r="747" spans="2:13">
      <c r="B747" s="391"/>
      <c r="C747" s="160"/>
      <c r="D747" s="160"/>
      <c r="E747" s="160"/>
      <c r="F747" s="160"/>
      <c r="G747" s="160"/>
      <c r="H747" s="160"/>
      <c r="I747" s="160"/>
      <c r="J747" s="160"/>
      <c r="K747" s="160"/>
      <c r="L747" s="160"/>
      <c r="M747" s="160"/>
    </row>
    <row r="748" spans="2:13">
      <c r="B748" s="391"/>
      <c r="C748" s="160"/>
      <c r="D748" s="160"/>
      <c r="E748" s="160"/>
      <c r="F748" s="160"/>
      <c r="G748" s="160"/>
      <c r="H748" s="160"/>
      <c r="I748" s="160"/>
      <c r="J748" s="160"/>
      <c r="K748" s="160"/>
      <c r="L748" s="160"/>
      <c r="M748" s="160"/>
    </row>
    <row r="749" spans="2:13">
      <c r="B749" s="391"/>
      <c r="C749" s="160"/>
      <c r="D749" s="160"/>
      <c r="E749" s="160"/>
      <c r="F749" s="160"/>
      <c r="G749" s="160"/>
      <c r="H749" s="160"/>
      <c r="I749" s="160"/>
      <c r="J749" s="160"/>
      <c r="K749" s="160"/>
      <c r="L749" s="160"/>
      <c r="M749" s="160"/>
    </row>
    <row r="750" spans="2:13">
      <c r="B750" s="391"/>
      <c r="C750" s="160"/>
      <c r="D750" s="160"/>
      <c r="E750" s="160"/>
      <c r="F750" s="160"/>
      <c r="G750" s="160"/>
      <c r="H750" s="160"/>
      <c r="I750" s="160"/>
      <c r="J750" s="160"/>
      <c r="K750" s="160"/>
      <c r="L750" s="160"/>
      <c r="M750" s="160"/>
    </row>
    <row r="751" spans="2:13">
      <c r="B751" s="391"/>
      <c r="C751" s="160"/>
      <c r="D751" s="160"/>
      <c r="E751" s="160"/>
      <c r="F751" s="160"/>
      <c r="G751" s="160"/>
      <c r="H751" s="160"/>
      <c r="I751" s="160"/>
      <c r="J751" s="160"/>
      <c r="K751" s="160"/>
      <c r="L751" s="160"/>
      <c r="M751" s="160"/>
    </row>
    <row r="752" spans="2:13">
      <c r="B752" s="391"/>
      <c r="C752" s="160"/>
      <c r="D752" s="160"/>
      <c r="E752" s="160"/>
      <c r="F752" s="160"/>
      <c r="G752" s="160"/>
      <c r="H752" s="160"/>
      <c r="I752" s="160"/>
      <c r="J752" s="160"/>
      <c r="K752" s="160"/>
      <c r="L752" s="160"/>
      <c r="M752" s="160"/>
    </row>
    <row r="753" spans="2:13">
      <c r="B753" s="391"/>
      <c r="C753" s="160"/>
      <c r="D753" s="160"/>
      <c r="E753" s="160"/>
      <c r="F753" s="160"/>
      <c r="G753" s="160"/>
      <c r="H753" s="160"/>
      <c r="I753" s="160"/>
      <c r="J753" s="160"/>
      <c r="K753" s="160"/>
      <c r="L753" s="160"/>
      <c r="M753" s="160"/>
    </row>
    <row r="754" spans="2:13">
      <c r="B754" s="391"/>
      <c r="C754" s="160"/>
      <c r="D754" s="160"/>
      <c r="E754" s="160"/>
      <c r="F754" s="160"/>
      <c r="G754" s="160"/>
      <c r="H754" s="160"/>
      <c r="I754" s="160"/>
      <c r="J754" s="160"/>
      <c r="K754" s="160"/>
      <c r="L754" s="160"/>
      <c r="M754" s="160"/>
    </row>
    <row r="755" spans="2:13">
      <c r="B755" s="391"/>
      <c r="C755" s="160"/>
      <c r="D755" s="160"/>
      <c r="E755" s="160"/>
      <c r="F755" s="160"/>
      <c r="G755" s="160"/>
      <c r="H755" s="160"/>
      <c r="I755" s="160"/>
      <c r="J755" s="160"/>
      <c r="K755" s="160"/>
      <c r="L755" s="160"/>
      <c r="M755" s="160"/>
    </row>
    <row r="756" spans="2:13">
      <c r="B756" s="391"/>
      <c r="C756" s="160"/>
      <c r="D756" s="160"/>
      <c r="E756" s="160"/>
      <c r="F756" s="160"/>
      <c r="G756" s="160"/>
      <c r="H756" s="160"/>
      <c r="I756" s="160"/>
      <c r="J756" s="160"/>
      <c r="K756" s="160"/>
      <c r="L756" s="160"/>
      <c r="M756" s="160"/>
    </row>
    <row r="757" spans="2:13">
      <c r="B757" s="391"/>
      <c r="C757" s="160"/>
      <c r="D757" s="160"/>
      <c r="E757" s="160"/>
      <c r="F757" s="160"/>
      <c r="G757" s="160"/>
      <c r="H757" s="160"/>
      <c r="I757" s="160"/>
      <c r="J757" s="160"/>
      <c r="K757" s="160"/>
      <c r="L757" s="160"/>
      <c r="M757" s="160"/>
    </row>
    <row r="758" spans="2:13">
      <c r="B758" s="391"/>
      <c r="C758" s="160"/>
      <c r="D758" s="160"/>
      <c r="E758" s="160"/>
      <c r="F758" s="160"/>
      <c r="G758" s="160"/>
      <c r="H758" s="160"/>
      <c r="I758" s="160"/>
      <c r="J758" s="160"/>
      <c r="K758" s="160"/>
      <c r="L758" s="160"/>
      <c r="M758" s="160"/>
    </row>
    <row r="759" spans="2:13">
      <c r="B759" s="391"/>
      <c r="C759" s="160"/>
      <c r="D759" s="160"/>
      <c r="E759" s="160"/>
      <c r="F759" s="160"/>
      <c r="G759" s="160"/>
      <c r="H759" s="160"/>
      <c r="I759" s="160"/>
      <c r="J759" s="160"/>
      <c r="K759" s="160"/>
      <c r="L759" s="160"/>
      <c r="M759" s="160"/>
    </row>
    <row r="760" spans="2:13">
      <c r="B760" s="391"/>
      <c r="C760" s="160"/>
      <c r="D760" s="160"/>
      <c r="E760" s="160"/>
      <c r="F760" s="160"/>
      <c r="G760" s="160"/>
      <c r="H760" s="160"/>
      <c r="I760" s="160"/>
      <c r="J760" s="160"/>
      <c r="K760" s="160"/>
      <c r="L760" s="160"/>
      <c r="M760" s="160"/>
    </row>
    <row r="761" spans="2:13">
      <c r="B761" s="391"/>
      <c r="C761" s="160"/>
      <c r="D761" s="160"/>
      <c r="E761" s="160"/>
      <c r="F761" s="160"/>
      <c r="G761" s="160"/>
      <c r="H761" s="160"/>
      <c r="I761" s="160"/>
      <c r="J761" s="160"/>
      <c r="K761" s="160"/>
      <c r="L761" s="160"/>
      <c r="M761" s="160"/>
    </row>
    <row r="762" spans="2:13">
      <c r="B762" s="391"/>
      <c r="C762" s="160"/>
      <c r="D762" s="160"/>
      <c r="E762" s="160"/>
      <c r="F762" s="160"/>
      <c r="G762" s="160"/>
      <c r="H762" s="160"/>
      <c r="I762" s="160"/>
      <c r="J762" s="160"/>
      <c r="K762" s="160"/>
      <c r="L762" s="160"/>
      <c r="M762" s="160"/>
    </row>
    <row r="763" spans="2:13">
      <c r="B763" s="391"/>
      <c r="C763" s="160"/>
      <c r="D763" s="160"/>
      <c r="E763" s="160"/>
      <c r="F763" s="160"/>
      <c r="G763" s="160"/>
      <c r="H763" s="160"/>
      <c r="I763" s="160"/>
      <c r="J763" s="160"/>
      <c r="K763" s="160"/>
      <c r="L763" s="160"/>
      <c r="M763" s="160"/>
    </row>
    <row r="764" spans="2:13">
      <c r="B764" s="391"/>
      <c r="C764" s="160"/>
      <c r="D764" s="160"/>
      <c r="E764" s="160"/>
      <c r="F764" s="160"/>
      <c r="G764" s="160"/>
      <c r="H764" s="160"/>
      <c r="I764" s="160"/>
      <c r="J764" s="160"/>
      <c r="K764" s="160"/>
      <c r="L764" s="160"/>
      <c r="M764" s="160"/>
    </row>
    <row r="765" spans="2:13">
      <c r="B765" s="391"/>
      <c r="C765" s="160"/>
      <c r="D765" s="160"/>
      <c r="E765" s="160"/>
      <c r="F765" s="160"/>
      <c r="G765" s="160"/>
      <c r="H765" s="160"/>
      <c r="I765" s="160"/>
      <c r="J765" s="160"/>
      <c r="K765" s="160"/>
      <c r="L765" s="160"/>
      <c r="M765" s="160"/>
    </row>
    <row r="766" spans="2:13">
      <c r="B766" s="391"/>
      <c r="C766" s="160"/>
      <c r="D766" s="160"/>
      <c r="E766" s="160"/>
      <c r="F766" s="160"/>
      <c r="G766" s="160"/>
      <c r="H766" s="160"/>
      <c r="I766" s="160"/>
      <c r="J766" s="160"/>
      <c r="K766" s="160"/>
      <c r="L766" s="160"/>
      <c r="M766" s="160"/>
    </row>
    <row r="767" spans="2:13">
      <c r="B767" s="391"/>
      <c r="C767" s="160"/>
      <c r="D767" s="160"/>
      <c r="E767" s="160"/>
      <c r="F767" s="160"/>
      <c r="G767" s="160"/>
      <c r="H767" s="160"/>
      <c r="I767" s="160"/>
      <c r="J767" s="160"/>
      <c r="K767" s="160"/>
      <c r="L767" s="160"/>
      <c r="M767" s="160"/>
    </row>
    <row r="768" spans="2:13">
      <c r="B768" s="391"/>
      <c r="C768" s="160"/>
      <c r="D768" s="160"/>
      <c r="E768" s="160"/>
      <c r="F768" s="160"/>
      <c r="G768" s="160"/>
      <c r="H768" s="160"/>
      <c r="I768" s="160"/>
      <c r="J768" s="160"/>
      <c r="K768" s="160"/>
      <c r="L768" s="160"/>
      <c r="M768" s="160"/>
    </row>
    <row r="769" spans="2:13">
      <c r="B769" s="391"/>
      <c r="C769" s="160"/>
      <c r="D769" s="160"/>
      <c r="E769" s="160"/>
      <c r="F769" s="160"/>
      <c r="G769" s="160"/>
      <c r="H769" s="160"/>
      <c r="I769" s="160"/>
      <c r="J769" s="160"/>
      <c r="K769" s="160"/>
      <c r="L769" s="160"/>
      <c r="M769" s="160"/>
    </row>
    <row r="770" spans="2:13">
      <c r="B770" s="391"/>
      <c r="C770" s="160"/>
      <c r="D770" s="160"/>
      <c r="E770" s="160"/>
      <c r="F770" s="160"/>
      <c r="G770" s="160"/>
      <c r="H770" s="160"/>
      <c r="I770" s="160"/>
      <c r="J770" s="160"/>
      <c r="K770" s="160"/>
      <c r="L770" s="160"/>
      <c r="M770" s="160"/>
    </row>
    <row r="771" spans="2:13">
      <c r="B771" s="391"/>
      <c r="C771" s="160"/>
      <c r="D771" s="160"/>
      <c r="E771" s="160"/>
      <c r="F771" s="160"/>
      <c r="G771" s="160"/>
      <c r="H771" s="160"/>
      <c r="I771" s="160"/>
      <c r="J771" s="160"/>
      <c r="K771" s="160"/>
      <c r="L771" s="160"/>
      <c r="M771" s="160"/>
    </row>
    <row r="772" spans="2:13">
      <c r="B772" s="391"/>
      <c r="C772" s="160"/>
      <c r="D772" s="160"/>
      <c r="E772" s="160"/>
      <c r="F772" s="160"/>
      <c r="G772" s="160"/>
      <c r="H772" s="160"/>
      <c r="I772" s="160"/>
      <c r="J772" s="160"/>
      <c r="K772" s="160"/>
      <c r="L772" s="160"/>
      <c r="M772" s="160"/>
    </row>
    <row r="773" spans="2:13">
      <c r="B773" s="391"/>
      <c r="C773" s="160"/>
      <c r="D773" s="160"/>
      <c r="E773" s="160"/>
      <c r="F773" s="160"/>
      <c r="G773" s="160"/>
      <c r="H773" s="160"/>
      <c r="I773" s="160"/>
      <c r="J773" s="160"/>
      <c r="K773" s="160"/>
      <c r="L773" s="160"/>
      <c r="M773" s="160"/>
    </row>
    <row r="774" spans="2:13">
      <c r="B774" s="391"/>
      <c r="C774" s="160"/>
      <c r="D774" s="160"/>
      <c r="E774" s="160"/>
      <c r="F774" s="160"/>
      <c r="G774" s="160"/>
      <c r="H774" s="160"/>
      <c r="I774" s="160"/>
      <c r="J774" s="160"/>
      <c r="K774" s="160"/>
      <c r="L774" s="160"/>
      <c r="M774" s="160"/>
    </row>
    <row r="775" spans="2:13">
      <c r="B775" s="391"/>
      <c r="C775" s="160"/>
      <c r="D775" s="160"/>
      <c r="E775" s="160"/>
      <c r="F775" s="160"/>
      <c r="G775" s="160"/>
      <c r="H775" s="160"/>
      <c r="I775" s="160"/>
      <c r="J775" s="160"/>
      <c r="K775" s="160"/>
      <c r="L775" s="160"/>
      <c r="M775" s="160"/>
    </row>
    <row r="776" spans="2:13">
      <c r="B776" s="391"/>
      <c r="C776" s="160"/>
      <c r="D776" s="160"/>
      <c r="E776" s="160"/>
      <c r="F776" s="160"/>
      <c r="G776" s="160"/>
      <c r="H776" s="160"/>
      <c r="I776" s="160"/>
      <c r="J776" s="160"/>
      <c r="K776" s="160"/>
      <c r="L776" s="160"/>
      <c r="M776" s="160"/>
    </row>
    <row r="777" spans="2:13">
      <c r="B777" s="391"/>
      <c r="C777" s="160"/>
      <c r="D777" s="160"/>
      <c r="E777" s="160"/>
      <c r="F777" s="160"/>
      <c r="G777" s="160"/>
      <c r="H777" s="160"/>
      <c r="I777" s="160"/>
      <c r="J777" s="160"/>
      <c r="K777" s="160"/>
      <c r="L777" s="160"/>
      <c r="M777" s="160"/>
    </row>
    <row r="778" spans="2:13">
      <c r="B778" s="391"/>
      <c r="C778" s="160"/>
      <c r="D778" s="160"/>
      <c r="E778" s="160"/>
      <c r="F778" s="160"/>
      <c r="G778" s="160"/>
      <c r="H778" s="160"/>
      <c r="I778" s="160"/>
      <c r="J778" s="160"/>
      <c r="K778" s="160"/>
      <c r="L778" s="160"/>
      <c r="M778" s="160"/>
    </row>
    <row r="779" spans="2:13">
      <c r="B779" s="391"/>
      <c r="C779" s="160"/>
      <c r="D779" s="160"/>
      <c r="E779" s="160"/>
      <c r="F779" s="160"/>
      <c r="G779" s="160"/>
      <c r="H779" s="160"/>
      <c r="I779" s="160"/>
      <c r="J779" s="160"/>
      <c r="K779" s="160"/>
      <c r="L779" s="160"/>
      <c r="M779" s="160"/>
    </row>
    <row r="780" spans="2:13">
      <c r="B780" s="391"/>
      <c r="C780" s="160"/>
      <c r="D780" s="160"/>
      <c r="E780" s="160"/>
      <c r="F780" s="160"/>
      <c r="G780" s="160"/>
      <c r="H780" s="160"/>
      <c r="I780" s="160"/>
      <c r="J780" s="160"/>
      <c r="K780" s="160"/>
      <c r="L780" s="160"/>
      <c r="M780" s="160"/>
    </row>
    <row r="781" spans="2:13">
      <c r="B781" s="391"/>
      <c r="C781" s="160"/>
      <c r="D781" s="160"/>
      <c r="E781" s="160"/>
      <c r="F781" s="160"/>
      <c r="G781" s="160"/>
      <c r="H781" s="160"/>
      <c r="I781" s="160"/>
      <c r="J781" s="160"/>
      <c r="K781" s="160"/>
      <c r="L781" s="160"/>
      <c r="M781" s="160"/>
    </row>
    <row r="782" spans="2:13">
      <c r="B782" s="391"/>
      <c r="C782" s="160"/>
      <c r="D782" s="160"/>
      <c r="E782" s="160"/>
      <c r="F782" s="160"/>
      <c r="G782" s="160"/>
      <c r="H782" s="160"/>
      <c r="I782" s="160"/>
      <c r="J782" s="160"/>
      <c r="K782" s="160"/>
      <c r="L782" s="160"/>
      <c r="M782" s="160"/>
    </row>
    <row r="783" spans="2:13">
      <c r="B783" s="391"/>
      <c r="C783" s="160"/>
      <c r="D783" s="160"/>
      <c r="E783" s="160"/>
      <c r="F783" s="160"/>
      <c r="G783" s="160"/>
      <c r="H783" s="160"/>
      <c r="I783" s="160"/>
      <c r="J783" s="160"/>
      <c r="K783" s="160"/>
      <c r="L783" s="160"/>
      <c r="M783" s="160"/>
    </row>
    <row r="784" spans="2:13">
      <c r="B784" s="391"/>
      <c r="C784" s="160"/>
      <c r="D784" s="160"/>
      <c r="E784" s="160"/>
      <c r="F784" s="160"/>
      <c r="G784" s="160"/>
      <c r="H784" s="160"/>
      <c r="I784" s="160"/>
      <c r="J784" s="160"/>
      <c r="K784" s="160"/>
      <c r="L784" s="160"/>
      <c r="M784" s="160"/>
    </row>
    <row r="785" spans="2:13">
      <c r="B785" s="391"/>
      <c r="C785" s="160"/>
      <c r="D785" s="160"/>
      <c r="E785" s="160"/>
      <c r="F785" s="160"/>
      <c r="G785" s="160"/>
      <c r="H785" s="160"/>
      <c r="I785" s="160"/>
      <c r="J785" s="160"/>
      <c r="K785" s="160"/>
      <c r="L785" s="160"/>
      <c r="M785" s="160"/>
    </row>
    <row r="786" spans="2:13">
      <c r="B786" s="391"/>
      <c r="C786" s="160"/>
      <c r="D786" s="160"/>
      <c r="E786" s="160"/>
      <c r="F786" s="160"/>
      <c r="G786" s="160"/>
      <c r="H786" s="160"/>
      <c r="I786" s="160"/>
      <c r="J786" s="160"/>
      <c r="K786" s="160"/>
      <c r="L786" s="160"/>
      <c r="M786" s="160"/>
    </row>
    <row r="787" spans="2:13">
      <c r="B787" s="391"/>
      <c r="C787" s="160"/>
      <c r="D787" s="160"/>
      <c r="E787" s="160"/>
      <c r="F787" s="160"/>
      <c r="G787" s="160"/>
      <c r="H787" s="160"/>
      <c r="I787" s="160"/>
      <c r="J787" s="160"/>
      <c r="K787" s="160"/>
      <c r="L787" s="160"/>
      <c r="M787" s="160"/>
    </row>
    <row r="788" spans="2:13">
      <c r="B788" s="391"/>
      <c r="C788" s="160"/>
      <c r="D788" s="160"/>
      <c r="E788" s="160"/>
      <c r="F788" s="160"/>
      <c r="G788" s="160"/>
      <c r="H788" s="160"/>
      <c r="I788" s="160"/>
      <c r="J788" s="160"/>
      <c r="K788" s="160"/>
      <c r="L788" s="160"/>
      <c r="M788" s="160"/>
    </row>
    <row r="789" spans="2:13">
      <c r="B789" s="391"/>
      <c r="C789" s="160"/>
      <c r="D789" s="160"/>
      <c r="E789" s="160"/>
      <c r="F789" s="160"/>
      <c r="G789" s="160"/>
      <c r="H789" s="160"/>
      <c r="I789" s="160"/>
      <c r="J789" s="160"/>
      <c r="K789" s="160"/>
      <c r="L789" s="160"/>
      <c r="M789" s="160"/>
    </row>
    <row r="790" spans="2:13">
      <c r="B790" s="391"/>
      <c r="C790" s="160"/>
      <c r="D790" s="160"/>
      <c r="E790" s="160"/>
      <c r="F790" s="160"/>
      <c r="G790" s="160"/>
      <c r="H790" s="160"/>
      <c r="I790" s="160"/>
      <c r="J790" s="160"/>
      <c r="K790" s="160"/>
      <c r="L790" s="160"/>
      <c r="M790" s="160"/>
    </row>
    <row r="791" spans="2:13">
      <c r="B791" s="391"/>
      <c r="C791" s="160"/>
      <c r="D791" s="160"/>
      <c r="E791" s="160"/>
      <c r="F791" s="160"/>
      <c r="G791" s="160"/>
      <c r="H791" s="160"/>
      <c r="I791" s="160"/>
      <c r="J791" s="160"/>
      <c r="K791" s="160"/>
      <c r="L791" s="160"/>
      <c r="M791" s="160"/>
    </row>
    <row r="792" spans="2:13">
      <c r="B792" s="391"/>
      <c r="C792" s="160"/>
      <c r="D792" s="160"/>
      <c r="E792" s="160"/>
      <c r="F792" s="160"/>
      <c r="G792" s="160"/>
      <c r="H792" s="160"/>
      <c r="I792" s="160"/>
      <c r="J792" s="160"/>
      <c r="K792" s="160"/>
      <c r="L792" s="160"/>
      <c r="M792" s="160"/>
    </row>
    <row r="793" spans="2:13">
      <c r="B793" s="391"/>
      <c r="C793" s="160"/>
      <c r="D793" s="160"/>
      <c r="E793" s="160"/>
      <c r="F793" s="160"/>
      <c r="G793" s="160"/>
      <c r="H793" s="160"/>
      <c r="I793" s="160"/>
      <c r="J793" s="160"/>
      <c r="K793" s="160"/>
      <c r="L793" s="160"/>
      <c r="M793" s="160"/>
    </row>
    <row r="794" spans="2:13">
      <c r="B794" s="391"/>
      <c r="C794" s="160"/>
      <c r="D794" s="160"/>
      <c r="E794" s="160"/>
      <c r="F794" s="160"/>
      <c r="G794" s="160"/>
      <c r="H794" s="160"/>
      <c r="I794" s="160"/>
      <c r="J794" s="160"/>
      <c r="K794" s="160"/>
      <c r="L794" s="160"/>
      <c r="M794" s="160"/>
    </row>
    <row r="795" spans="2:13">
      <c r="B795" s="391"/>
      <c r="C795" s="160"/>
      <c r="D795" s="160"/>
      <c r="E795" s="160"/>
      <c r="F795" s="160"/>
      <c r="G795" s="160"/>
      <c r="H795" s="160"/>
      <c r="I795" s="160"/>
      <c r="J795" s="160"/>
      <c r="K795" s="160"/>
      <c r="L795" s="160"/>
      <c r="M795" s="160"/>
    </row>
    <row r="796" spans="2:13">
      <c r="B796" s="391"/>
      <c r="C796" s="160"/>
      <c r="D796" s="160"/>
      <c r="E796" s="160"/>
      <c r="F796" s="160"/>
      <c r="G796" s="160"/>
      <c r="H796" s="160"/>
      <c r="I796" s="160"/>
      <c r="J796" s="160"/>
      <c r="K796" s="160"/>
      <c r="L796" s="160"/>
      <c r="M796" s="160"/>
    </row>
    <row r="797" spans="2:13">
      <c r="B797" s="391"/>
      <c r="C797" s="160"/>
      <c r="D797" s="160"/>
      <c r="E797" s="160"/>
      <c r="F797" s="160"/>
      <c r="G797" s="160"/>
      <c r="H797" s="160"/>
      <c r="I797" s="160"/>
      <c r="J797" s="160"/>
      <c r="K797" s="160"/>
      <c r="L797" s="160"/>
      <c r="M797" s="160"/>
    </row>
    <row r="798" spans="2:13">
      <c r="B798" s="391"/>
      <c r="C798" s="160"/>
      <c r="D798" s="160"/>
      <c r="E798" s="160"/>
      <c r="F798" s="160"/>
      <c r="G798" s="160"/>
      <c r="H798" s="160"/>
      <c r="I798" s="160"/>
      <c r="J798" s="160"/>
      <c r="K798" s="160"/>
      <c r="L798" s="160"/>
      <c r="M798" s="160"/>
    </row>
    <row r="799" spans="2:13">
      <c r="B799" s="391"/>
      <c r="C799" s="160"/>
      <c r="D799" s="160"/>
      <c r="E799" s="160"/>
      <c r="F799" s="160"/>
      <c r="G799" s="160"/>
      <c r="H799" s="160"/>
      <c r="I799" s="160"/>
      <c r="J799" s="160"/>
      <c r="K799" s="160"/>
      <c r="L799" s="160"/>
      <c r="M799" s="160"/>
    </row>
    <row r="800" spans="2:13">
      <c r="B800" s="391"/>
      <c r="C800" s="160"/>
      <c r="D800" s="160"/>
      <c r="E800" s="160"/>
      <c r="F800" s="160"/>
      <c r="G800" s="160"/>
      <c r="H800" s="160"/>
      <c r="I800" s="160"/>
      <c r="J800" s="160"/>
      <c r="K800" s="160"/>
      <c r="L800" s="160"/>
      <c r="M800" s="160"/>
    </row>
    <row r="801" spans="2:13">
      <c r="B801" s="391"/>
      <c r="C801" s="160"/>
      <c r="D801" s="160"/>
      <c r="E801" s="160"/>
      <c r="F801" s="160"/>
      <c r="G801" s="160"/>
      <c r="H801" s="160"/>
      <c r="I801" s="160"/>
      <c r="J801" s="160"/>
      <c r="K801" s="160"/>
      <c r="L801" s="160"/>
      <c r="M801" s="160"/>
    </row>
    <row r="802" spans="2:13">
      <c r="B802" s="391"/>
      <c r="C802" s="160"/>
      <c r="D802" s="160"/>
      <c r="E802" s="160"/>
      <c r="F802" s="160"/>
      <c r="G802" s="160"/>
      <c r="H802" s="160"/>
      <c r="I802" s="160"/>
      <c r="J802" s="160"/>
      <c r="K802" s="160"/>
      <c r="L802" s="160"/>
      <c r="M802" s="160"/>
    </row>
    <row r="803" spans="2:13">
      <c r="B803" s="391"/>
      <c r="C803" s="160"/>
      <c r="D803" s="160"/>
      <c r="E803" s="160"/>
      <c r="F803" s="160"/>
      <c r="G803" s="160"/>
      <c r="H803" s="160"/>
      <c r="I803" s="160"/>
      <c r="J803" s="160"/>
      <c r="K803" s="160"/>
      <c r="L803" s="160"/>
      <c r="M803" s="160"/>
    </row>
    <row r="804" spans="2:13">
      <c r="B804" s="391"/>
      <c r="C804" s="160"/>
      <c r="D804" s="160"/>
      <c r="E804" s="160"/>
      <c r="F804" s="160"/>
      <c r="G804" s="160"/>
      <c r="H804" s="160"/>
      <c r="I804" s="160"/>
      <c r="J804" s="160"/>
      <c r="K804" s="160"/>
      <c r="L804" s="160"/>
      <c r="M804" s="160"/>
    </row>
    <row r="805" spans="2:13">
      <c r="B805" s="391"/>
      <c r="C805" s="160"/>
      <c r="D805" s="160"/>
      <c r="E805" s="160"/>
      <c r="F805" s="160"/>
      <c r="G805" s="160"/>
      <c r="H805" s="160"/>
      <c r="I805" s="160"/>
      <c r="J805" s="160"/>
      <c r="K805" s="160"/>
      <c r="L805" s="160"/>
      <c r="M805" s="160"/>
    </row>
    <row r="806" spans="2:13">
      <c r="B806" s="391"/>
      <c r="C806" s="160"/>
      <c r="D806" s="160"/>
      <c r="E806" s="160"/>
      <c r="F806" s="160"/>
      <c r="G806" s="160"/>
      <c r="H806" s="160"/>
      <c r="I806" s="160"/>
      <c r="J806" s="160"/>
      <c r="K806" s="160"/>
      <c r="L806" s="160"/>
      <c r="M806" s="160"/>
    </row>
    <row r="807" spans="2:13">
      <c r="B807" s="391"/>
      <c r="C807" s="160"/>
      <c r="D807" s="160"/>
      <c r="E807" s="160"/>
      <c r="F807" s="160"/>
      <c r="G807" s="160"/>
      <c r="H807" s="160"/>
      <c r="I807" s="160"/>
      <c r="J807" s="160"/>
      <c r="K807" s="160"/>
      <c r="L807" s="160"/>
      <c r="M807" s="160"/>
    </row>
    <row r="808" spans="2:13">
      <c r="B808" s="391"/>
      <c r="C808" s="160"/>
      <c r="D808" s="160"/>
      <c r="E808" s="160"/>
      <c r="F808" s="160"/>
      <c r="G808" s="160"/>
      <c r="H808" s="160"/>
      <c r="I808" s="160"/>
      <c r="J808" s="160"/>
      <c r="K808" s="160"/>
      <c r="L808" s="160"/>
      <c r="M808" s="160"/>
    </row>
    <row r="809" spans="2:13">
      <c r="B809" s="391"/>
      <c r="C809" s="160"/>
      <c r="D809" s="160"/>
      <c r="E809" s="160"/>
      <c r="F809" s="160"/>
      <c r="G809" s="160"/>
      <c r="H809" s="160"/>
      <c r="I809" s="160"/>
      <c r="J809" s="160"/>
      <c r="K809" s="160"/>
      <c r="L809" s="160"/>
      <c r="M809" s="160"/>
    </row>
    <row r="810" spans="2:13">
      <c r="B810" s="391"/>
      <c r="C810" s="160"/>
      <c r="D810" s="160"/>
      <c r="E810" s="160"/>
      <c r="F810" s="160"/>
      <c r="G810" s="160"/>
      <c r="H810" s="160"/>
      <c r="I810" s="160"/>
      <c r="J810" s="160"/>
      <c r="K810" s="160"/>
      <c r="L810" s="160"/>
      <c r="M810" s="160"/>
    </row>
    <row r="811" spans="2:13">
      <c r="B811" s="391"/>
      <c r="C811" s="160"/>
      <c r="D811" s="160"/>
      <c r="E811" s="160"/>
      <c r="F811" s="160"/>
      <c r="G811" s="160"/>
      <c r="H811" s="160"/>
      <c r="I811" s="160"/>
      <c r="J811" s="160"/>
      <c r="K811" s="160"/>
      <c r="L811" s="160"/>
      <c r="M811" s="160"/>
    </row>
    <row r="812" spans="2:13">
      <c r="B812" s="391"/>
      <c r="C812" s="160"/>
      <c r="D812" s="160"/>
      <c r="E812" s="160"/>
      <c r="F812" s="160"/>
      <c r="G812" s="160"/>
      <c r="H812" s="160"/>
      <c r="I812" s="160"/>
      <c r="J812" s="160"/>
      <c r="K812" s="160"/>
      <c r="L812" s="160"/>
      <c r="M812" s="160"/>
    </row>
    <row r="813" spans="2:13">
      <c r="B813" s="391"/>
      <c r="C813" s="160"/>
      <c r="D813" s="160"/>
      <c r="E813" s="160"/>
      <c r="F813" s="160"/>
      <c r="G813" s="160"/>
      <c r="H813" s="160"/>
      <c r="I813" s="160"/>
      <c r="J813" s="160"/>
      <c r="K813" s="160"/>
      <c r="L813" s="160"/>
      <c r="M813" s="160"/>
    </row>
    <row r="814" spans="2:13">
      <c r="B814" s="391"/>
      <c r="C814" s="160"/>
      <c r="D814" s="160"/>
      <c r="E814" s="160"/>
      <c r="F814" s="160"/>
      <c r="G814" s="160"/>
      <c r="H814" s="160"/>
      <c r="I814" s="160"/>
      <c r="J814" s="160"/>
      <c r="K814" s="160"/>
      <c r="L814" s="160"/>
      <c r="M814" s="160"/>
    </row>
    <row r="815" spans="2:13">
      <c r="B815" s="391"/>
      <c r="C815" s="160"/>
      <c r="D815" s="160"/>
      <c r="E815" s="160"/>
      <c r="F815" s="160"/>
      <c r="G815" s="160"/>
      <c r="H815" s="160"/>
      <c r="I815" s="160"/>
      <c r="J815" s="160"/>
      <c r="K815" s="160"/>
      <c r="L815" s="160"/>
      <c r="M815" s="160"/>
    </row>
    <row r="816" spans="2:13">
      <c r="B816" s="391"/>
      <c r="C816" s="160"/>
      <c r="D816" s="160"/>
      <c r="E816" s="160"/>
      <c r="F816" s="160"/>
      <c r="G816" s="160"/>
      <c r="H816" s="160"/>
      <c r="I816" s="160"/>
      <c r="J816" s="160"/>
      <c r="K816" s="160"/>
      <c r="L816" s="160"/>
      <c r="M816" s="160"/>
    </row>
    <row r="817" spans="2:13">
      <c r="B817" s="391"/>
      <c r="C817" s="160"/>
      <c r="D817" s="160"/>
      <c r="E817" s="160"/>
      <c r="F817" s="160"/>
      <c r="G817" s="160"/>
      <c r="H817" s="160"/>
      <c r="I817" s="160"/>
      <c r="J817" s="160"/>
      <c r="K817" s="160"/>
      <c r="L817" s="160"/>
      <c r="M817" s="160"/>
    </row>
    <row r="818" spans="2:13">
      <c r="B818" s="391"/>
      <c r="C818" s="160"/>
      <c r="D818" s="160"/>
      <c r="E818" s="160"/>
      <c r="F818" s="160"/>
      <c r="G818" s="160"/>
      <c r="H818" s="160"/>
      <c r="I818" s="160"/>
      <c r="J818" s="160"/>
      <c r="K818" s="160"/>
      <c r="L818" s="160"/>
      <c r="M818" s="160"/>
    </row>
    <row r="819" spans="2:13">
      <c r="B819" s="391"/>
      <c r="C819" s="160"/>
      <c r="D819" s="160"/>
      <c r="E819" s="160"/>
      <c r="F819" s="160"/>
      <c r="G819" s="160"/>
      <c r="H819" s="160"/>
      <c r="I819" s="160"/>
      <c r="J819" s="160"/>
      <c r="K819" s="160"/>
      <c r="L819" s="160"/>
      <c r="M819" s="160"/>
    </row>
    <row r="820" spans="2:13">
      <c r="B820" s="391"/>
      <c r="C820" s="160"/>
      <c r="D820" s="160"/>
      <c r="E820" s="160"/>
      <c r="F820" s="160"/>
      <c r="G820" s="160"/>
      <c r="H820" s="160"/>
      <c r="I820" s="160"/>
      <c r="J820" s="160"/>
      <c r="K820" s="160"/>
      <c r="L820" s="160"/>
      <c r="M820" s="160"/>
    </row>
    <row r="821" spans="2:13">
      <c r="B821" s="391"/>
      <c r="C821" s="160"/>
      <c r="D821" s="160"/>
      <c r="E821" s="160"/>
      <c r="F821" s="160"/>
      <c r="G821" s="160"/>
      <c r="H821" s="160"/>
      <c r="I821" s="160"/>
      <c r="J821" s="160"/>
      <c r="K821" s="160"/>
      <c r="L821" s="160"/>
      <c r="M821" s="160"/>
    </row>
    <row r="822" spans="2:13">
      <c r="B822" s="391"/>
      <c r="C822" s="160"/>
      <c r="D822" s="160"/>
      <c r="E822" s="160"/>
      <c r="F822" s="160"/>
      <c r="G822" s="160"/>
      <c r="H822" s="160"/>
      <c r="I822" s="160"/>
      <c r="J822" s="160"/>
      <c r="K822" s="160"/>
      <c r="L822" s="160"/>
      <c r="M822" s="160"/>
    </row>
    <row r="823" spans="2:13">
      <c r="B823" s="391"/>
      <c r="C823" s="160"/>
      <c r="D823" s="160"/>
      <c r="E823" s="160"/>
      <c r="F823" s="160"/>
      <c r="G823" s="160"/>
      <c r="H823" s="160"/>
      <c r="I823" s="160"/>
      <c r="J823" s="160"/>
      <c r="K823" s="160"/>
      <c r="L823" s="160"/>
      <c r="M823" s="160"/>
    </row>
    <row r="824" spans="2:13">
      <c r="B824" s="391"/>
      <c r="C824" s="160"/>
      <c r="D824" s="160"/>
      <c r="E824" s="160"/>
      <c r="F824" s="160"/>
      <c r="G824" s="160"/>
      <c r="H824" s="160"/>
      <c r="I824" s="160"/>
      <c r="J824" s="160"/>
      <c r="K824" s="160"/>
      <c r="L824" s="160"/>
      <c r="M824" s="160"/>
    </row>
    <row r="825" spans="2:13">
      <c r="B825" s="391"/>
      <c r="C825" s="160"/>
      <c r="D825" s="160"/>
      <c r="E825" s="160"/>
      <c r="F825" s="160"/>
      <c r="G825" s="160"/>
      <c r="H825" s="160"/>
      <c r="I825" s="160"/>
      <c r="J825" s="160"/>
      <c r="K825" s="160"/>
      <c r="L825" s="160"/>
      <c r="M825" s="160"/>
    </row>
    <row r="826" spans="2:13">
      <c r="B826" s="391"/>
      <c r="C826" s="160"/>
      <c r="D826" s="160"/>
      <c r="E826" s="160"/>
      <c r="F826" s="160"/>
      <c r="G826" s="160"/>
      <c r="H826" s="160"/>
      <c r="I826" s="160"/>
      <c r="J826" s="160"/>
      <c r="K826" s="160"/>
      <c r="L826" s="160"/>
      <c r="M826" s="160"/>
    </row>
    <row r="827" spans="2:13">
      <c r="B827" s="391"/>
      <c r="C827" s="160"/>
      <c r="D827" s="160"/>
      <c r="E827" s="160"/>
      <c r="F827" s="160"/>
      <c r="G827" s="160"/>
      <c r="H827" s="160"/>
      <c r="I827" s="160"/>
      <c r="J827" s="160"/>
      <c r="K827" s="160"/>
      <c r="L827" s="160"/>
      <c r="M827" s="160"/>
    </row>
    <row r="828" spans="2:13">
      <c r="B828" s="391"/>
      <c r="C828" s="160"/>
      <c r="D828" s="160"/>
      <c r="E828" s="160"/>
      <c r="F828" s="160"/>
      <c r="G828" s="160"/>
      <c r="H828" s="160"/>
      <c r="I828" s="160"/>
      <c r="J828" s="160"/>
      <c r="K828" s="160"/>
      <c r="L828" s="160"/>
      <c r="M828" s="160"/>
    </row>
    <row r="829" spans="2:13">
      <c r="B829" s="391"/>
      <c r="C829" s="160"/>
      <c r="D829" s="160"/>
      <c r="E829" s="160"/>
      <c r="F829" s="160"/>
      <c r="G829" s="160"/>
      <c r="H829" s="160"/>
      <c r="I829" s="160"/>
      <c r="J829" s="160"/>
      <c r="K829" s="160"/>
      <c r="L829" s="160"/>
      <c r="M829" s="160"/>
    </row>
    <row r="830" spans="2:13">
      <c r="B830" s="391"/>
      <c r="C830" s="160"/>
      <c r="D830" s="160"/>
      <c r="E830" s="160"/>
      <c r="F830" s="160"/>
      <c r="G830" s="160"/>
      <c r="H830" s="160"/>
      <c r="I830" s="160"/>
      <c r="J830" s="160"/>
      <c r="K830" s="160"/>
      <c r="L830" s="160"/>
      <c r="M830" s="160"/>
    </row>
    <row r="831" spans="2:13">
      <c r="B831" s="391"/>
      <c r="C831" s="160"/>
      <c r="D831" s="160"/>
      <c r="E831" s="160"/>
      <c r="F831" s="160"/>
      <c r="G831" s="160"/>
      <c r="H831" s="160"/>
      <c r="I831" s="160"/>
      <c r="J831" s="160"/>
      <c r="K831" s="160"/>
      <c r="L831" s="160"/>
      <c r="M831" s="160"/>
    </row>
    <row r="832" spans="2:13">
      <c r="B832" s="391"/>
      <c r="C832" s="160"/>
      <c r="D832" s="160"/>
      <c r="E832" s="160"/>
      <c r="F832" s="160"/>
      <c r="G832" s="160"/>
      <c r="H832" s="160"/>
      <c r="I832" s="160"/>
      <c r="J832" s="160"/>
      <c r="K832" s="160"/>
      <c r="L832" s="160"/>
      <c r="M832" s="160"/>
    </row>
    <row r="833" spans="2:13">
      <c r="B833" s="391"/>
      <c r="C833" s="160"/>
      <c r="D833" s="160"/>
      <c r="E833" s="160"/>
      <c r="F833" s="160"/>
      <c r="G833" s="160"/>
      <c r="H833" s="160"/>
      <c r="I833" s="160"/>
      <c r="J833" s="160"/>
      <c r="K833" s="160"/>
      <c r="L833" s="160"/>
      <c r="M833" s="160"/>
    </row>
    <row r="834" spans="2:13">
      <c r="B834" s="391"/>
      <c r="C834" s="160"/>
      <c r="D834" s="160"/>
      <c r="E834" s="160"/>
      <c r="F834" s="160"/>
      <c r="G834" s="160"/>
      <c r="H834" s="160"/>
      <c r="I834" s="160"/>
      <c r="J834" s="160"/>
      <c r="K834" s="160"/>
      <c r="L834" s="160"/>
      <c r="M834" s="160"/>
    </row>
    <row r="835" spans="2:13">
      <c r="B835" s="391"/>
      <c r="C835" s="160"/>
      <c r="D835" s="160"/>
      <c r="E835" s="160"/>
      <c r="F835" s="160"/>
      <c r="G835" s="160"/>
      <c r="H835" s="160"/>
      <c r="I835" s="160"/>
      <c r="J835" s="160"/>
      <c r="K835" s="160"/>
      <c r="L835" s="160"/>
      <c r="M835" s="160"/>
    </row>
    <row r="836" spans="2:13">
      <c r="B836" s="391"/>
      <c r="C836" s="160"/>
      <c r="D836" s="160"/>
      <c r="E836" s="160"/>
      <c r="F836" s="160"/>
      <c r="G836" s="160"/>
      <c r="H836" s="160"/>
      <c r="I836" s="160"/>
      <c r="J836" s="160"/>
      <c r="K836" s="160"/>
      <c r="L836" s="160"/>
      <c r="M836" s="160"/>
    </row>
    <row r="837" spans="2:13">
      <c r="B837" s="391"/>
      <c r="C837" s="160"/>
      <c r="D837" s="160"/>
      <c r="E837" s="160"/>
      <c r="F837" s="160"/>
      <c r="G837" s="160"/>
      <c r="H837" s="160"/>
      <c r="I837" s="160"/>
      <c r="J837" s="160"/>
      <c r="K837" s="160"/>
      <c r="L837" s="160"/>
      <c r="M837" s="160"/>
    </row>
    <row r="838" spans="2:13">
      <c r="B838" s="391"/>
      <c r="C838" s="160"/>
      <c r="D838" s="160"/>
      <c r="E838" s="160"/>
      <c r="F838" s="160"/>
      <c r="G838" s="160"/>
      <c r="H838" s="160"/>
      <c r="I838" s="160"/>
      <c r="J838" s="160"/>
      <c r="K838" s="160"/>
      <c r="L838" s="160"/>
      <c r="M838" s="160"/>
    </row>
    <row r="839" spans="2:13">
      <c r="B839" s="391"/>
      <c r="C839" s="160"/>
      <c r="D839" s="160"/>
      <c r="E839" s="160"/>
      <c r="F839" s="160"/>
      <c r="G839" s="160"/>
      <c r="H839" s="160"/>
      <c r="I839" s="160"/>
      <c r="J839" s="160"/>
      <c r="K839" s="160"/>
      <c r="L839" s="160"/>
      <c r="M839" s="160"/>
    </row>
    <row r="840" spans="2:13">
      <c r="B840" s="391"/>
      <c r="C840" s="160"/>
      <c r="D840" s="160"/>
      <c r="E840" s="160"/>
      <c r="F840" s="160"/>
      <c r="G840" s="160"/>
      <c r="H840" s="160"/>
      <c r="I840" s="160"/>
      <c r="J840" s="160"/>
      <c r="K840" s="160"/>
      <c r="L840" s="160"/>
      <c r="M840" s="160"/>
    </row>
    <row r="841" spans="2:13">
      <c r="B841" s="391"/>
      <c r="C841" s="160"/>
      <c r="D841" s="160"/>
      <c r="E841" s="160"/>
      <c r="F841" s="160"/>
      <c r="G841" s="160"/>
      <c r="H841" s="160"/>
      <c r="I841" s="160"/>
      <c r="J841" s="160"/>
      <c r="K841" s="160"/>
      <c r="L841" s="160"/>
      <c r="M841" s="160"/>
    </row>
    <row r="842" spans="2:13">
      <c r="B842" s="391"/>
      <c r="C842" s="160"/>
      <c r="D842" s="160"/>
      <c r="E842" s="160"/>
      <c r="F842" s="160"/>
      <c r="G842" s="160"/>
      <c r="H842" s="160"/>
      <c r="I842" s="160"/>
      <c r="J842" s="160"/>
      <c r="K842" s="160"/>
      <c r="L842" s="160"/>
      <c r="M842" s="160"/>
    </row>
    <row r="843" spans="2:13">
      <c r="B843" s="391"/>
      <c r="C843" s="160"/>
      <c r="D843" s="160"/>
      <c r="E843" s="160"/>
      <c r="F843" s="160"/>
      <c r="G843" s="160"/>
      <c r="H843" s="160"/>
      <c r="I843" s="160"/>
      <c r="J843" s="160"/>
      <c r="K843" s="160"/>
      <c r="L843" s="160"/>
      <c r="M843" s="160"/>
    </row>
    <row r="844" spans="2:13">
      <c r="B844" s="391"/>
      <c r="C844" s="160"/>
      <c r="D844" s="160"/>
      <c r="E844" s="160"/>
      <c r="F844" s="160"/>
      <c r="G844" s="160"/>
      <c r="H844" s="160"/>
      <c r="I844" s="160"/>
      <c r="J844" s="160"/>
      <c r="K844" s="160"/>
      <c r="L844" s="160"/>
      <c r="M844" s="160"/>
    </row>
    <row r="845" spans="2:13">
      <c r="B845" s="391"/>
      <c r="C845" s="160"/>
      <c r="D845" s="160"/>
      <c r="E845" s="160"/>
      <c r="F845" s="160"/>
      <c r="G845" s="160"/>
      <c r="H845" s="160"/>
      <c r="I845" s="160"/>
      <c r="J845" s="160"/>
      <c r="K845" s="160"/>
      <c r="L845" s="160"/>
      <c r="M845" s="160"/>
    </row>
    <row r="846" spans="2:13">
      <c r="B846" s="391"/>
      <c r="C846" s="160"/>
      <c r="D846" s="160"/>
      <c r="E846" s="160"/>
      <c r="F846" s="160"/>
      <c r="G846" s="160"/>
      <c r="H846" s="160"/>
      <c r="I846" s="160"/>
      <c r="J846" s="160"/>
      <c r="K846" s="160"/>
      <c r="L846" s="160"/>
      <c r="M846" s="160"/>
    </row>
    <row r="847" spans="2:13">
      <c r="B847" s="391"/>
      <c r="C847" s="160"/>
      <c r="D847" s="160"/>
      <c r="E847" s="160"/>
      <c r="F847" s="160"/>
      <c r="G847" s="160"/>
      <c r="H847" s="160"/>
      <c r="I847" s="160"/>
      <c r="J847" s="160"/>
      <c r="K847" s="160"/>
      <c r="L847" s="160"/>
      <c r="M847" s="160"/>
    </row>
    <row r="848" spans="2:13">
      <c r="B848" s="391"/>
      <c r="C848" s="160"/>
      <c r="D848" s="160"/>
      <c r="E848" s="160"/>
      <c r="F848" s="160"/>
      <c r="G848" s="160"/>
      <c r="H848" s="160"/>
      <c r="I848" s="160"/>
      <c r="J848" s="160"/>
      <c r="K848" s="160"/>
      <c r="L848" s="160"/>
      <c r="M848" s="160"/>
    </row>
    <row r="849" spans="2:13">
      <c r="B849" s="391"/>
      <c r="C849" s="160"/>
      <c r="D849" s="160"/>
      <c r="E849" s="160"/>
      <c r="F849" s="160"/>
      <c r="G849" s="160"/>
      <c r="H849" s="160"/>
      <c r="I849" s="160"/>
      <c r="J849" s="160"/>
      <c r="K849" s="160"/>
      <c r="L849" s="160"/>
      <c r="M849" s="160"/>
    </row>
    <row r="850" spans="2:13">
      <c r="B850" s="391"/>
      <c r="C850" s="160"/>
      <c r="D850" s="160"/>
      <c r="E850" s="160"/>
      <c r="F850" s="160"/>
      <c r="G850" s="160"/>
      <c r="H850" s="160"/>
      <c r="I850" s="160"/>
      <c r="J850" s="160"/>
      <c r="K850" s="160"/>
      <c r="L850" s="160"/>
      <c r="M850" s="160"/>
    </row>
    <row r="851" spans="2:13">
      <c r="B851" s="391"/>
      <c r="C851" s="160"/>
      <c r="D851" s="160"/>
      <c r="E851" s="160"/>
      <c r="F851" s="160"/>
      <c r="G851" s="160"/>
      <c r="H851" s="160"/>
      <c r="I851" s="160"/>
      <c r="J851" s="160"/>
      <c r="K851" s="160"/>
      <c r="L851" s="160"/>
      <c r="M851" s="160"/>
    </row>
    <row r="852" spans="2:13">
      <c r="B852" s="391"/>
      <c r="C852" s="160"/>
      <c r="D852" s="160"/>
      <c r="E852" s="160"/>
      <c r="F852" s="160"/>
      <c r="G852" s="160"/>
      <c r="H852" s="160"/>
      <c r="I852" s="160"/>
      <c r="J852" s="160"/>
      <c r="K852" s="160"/>
      <c r="L852" s="160"/>
      <c r="M852" s="160"/>
    </row>
    <row r="853" spans="2:13">
      <c r="B853" s="391"/>
      <c r="C853" s="160"/>
      <c r="D853" s="160"/>
      <c r="E853" s="160"/>
      <c r="F853" s="160"/>
      <c r="G853" s="160"/>
      <c r="H853" s="160"/>
      <c r="I853" s="160"/>
      <c r="J853" s="160"/>
      <c r="K853" s="160"/>
      <c r="L853" s="160"/>
      <c r="M853" s="160"/>
    </row>
    <row r="854" spans="2:13">
      <c r="B854" s="391"/>
      <c r="C854" s="160"/>
      <c r="D854" s="160"/>
      <c r="E854" s="160"/>
      <c r="F854" s="160"/>
      <c r="G854" s="160"/>
      <c r="H854" s="160"/>
      <c r="I854" s="160"/>
      <c r="J854" s="160"/>
      <c r="K854" s="160"/>
      <c r="L854" s="160"/>
      <c r="M854" s="160"/>
    </row>
    <row r="855" spans="2:13">
      <c r="B855" s="391"/>
      <c r="C855" s="160"/>
      <c r="D855" s="160"/>
      <c r="E855" s="160"/>
      <c r="F855" s="160"/>
      <c r="G855" s="160"/>
      <c r="H855" s="160"/>
      <c r="I855" s="160"/>
      <c r="J855" s="160"/>
      <c r="K855" s="160"/>
      <c r="L855" s="160"/>
      <c r="M855" s="160"/>
    </row>
    <row r="856" spans="2:13">
      <c r="B856" s="391"/>
      <c r="C856" s="160"/>
      <c r="D856" s="160"/>
      <c r="E856" s="160"/>
      <c r="F856" s="160"/>
      <c r="G856" s="160"/>
      <c r="H856" s="160"/>
      <c r="I856" s="160"/>
      <c r="J856" s="160"/>
      <c r="K856" s="160"/>
      <c r="L856" s="160"/>
      <c r="M856" s="160"/>
    </row>
    <row r="857" spans="2:13">
      <c r="B857" s="391"/>
      <c r="C857" s="160"/>
      <c r="D857" s="160"/>
      <c r="E857" s="160"/>
      <c r="F857" s="160"/>
      <c r="G857" s="160"/>
      <c r="H857" s="160"/>
      <c r="I857" s="160"/>
      <c r="J857" s="160"/>
      <c r="K857" s="160"/>
      <c r="L857" s="160"/>
      <c r="M857" s="160"/>
    </row>
    <row r="858" spans="2:13">
      <c r="B858" s="391"/>
      <c r="C858" s="160"/>
      <c r="D858" s="160"/>
      <c r="E858" s="160"/>
      <c r="F858" s="160"/>
      <c r="G858" s="160"/>
      <c r="H858" s="160"/>
      <c r="I858" s="160"/>
      <c r="J858" s="160"/>
      <c r="K858" s="160"/>
      <c r="L858" s="160"/>
      <c r="M858" s="160"/>
    </row>
    <row r="859" spans="2:13">
      <c r="B859" s="391"/>
      <c r="C859" s="160"/>
      <c r="D859" s="160"/>
      <c r="E859" s="160"/>
      <c r="F859" s="160"/>
      <c r="G859" s="160"/>
      <c r="H859" s="160"/>
      <c r="I859" s="160"/>
      <c r="J859" s="160"/>
      <c r="K859" s="160"/>
      <c r="L859" s="160"/>
      <c r="M859" s="160"/>
    </row>
    <row r="860" spans="2:13">
      <c r="B860" s="391"/>
      <c r="C860" s="160"/>
      <c r="D860" s="160"/>
      <c r="E860" s="160"/>
      <c r="F860" s="160"/>
      <c r="G860" s="160"/>
      <c r="H860" s="160"/>
      <c r="I860" s="160"/>
      <c r="J860" s="160"/>
      <c r="K860" s="160"/>
      <c r="L860" s="160"/>
      <c r="M860" s="160"/>
    </row>
    <row r="861" spans="2:13">
      <c r="B861" s="391"/>
      <c r="C861" s="160"/>
      <c r="D861" s="160"/>
      <c r="E861" s="160"/>
      <c r="F861" s="160"/>
      <c r="G861" s="160"/>
      <c r="H861" s="160"/>
      <c r="I861" s="160"/>
      <c r="J861" s="160"/>
      <c r="K861" s="160"/>
      <c r="L861" s="160"/>
      <c r="M861" s="160"/>
    </row>
    <row r="862" spans="2:13">
      <c r="B862" s="391"/>
      <c r="C862" s="160"/>
      <c r="D862" s="160"/>
      <c r="E862" s="160"/>
      <c r="F862" s="160"/>
      <c r="G862" s="160"/>
      <c r="H862" s="160"/>
      <c r="I862" s="160"/>
      <c r="J862" s="160"/>
      <c r="K862" s="160"/>
      <c r="L862" s="160"/>
      <c r="M862" s="160"/>
    </row>
    <row r="863" spans="2:13">
      <c r="B863" s="391"/>
      <c r="C863" s="160"/>
      <c r="D863" s="160"/>
      <c r="E863" s="160"/>
      <c r="F863" s="160"/>
      <c r="G863" s="160"/>
      <c r="H863" s="160"/>
      <c r="I863" s="160"/>
      <c r="J863" s="160"/>
      <c r="K863" s="160"/>
      <c r="L863" s="160"/>
      <c r="M863" s="160"/>
    </row>
    <row r="864" spans="2:13">
      <c r="B864" s="391"/>
      <c r="C864" s="160"/>
      <c r="D864" s="160"/>
      <c r="E864" s="160"/>
      <c r="F864" s="160"/>
      <c r="G864" s="160"/>
      <c r="H864" s="160"/>
      <c r="I864" s="160"/>
      <c r="J864" s="160"/>
      <c r="K864" s="160"/>
      <c r="L864" s="160"/>
      <c r="M864" s="160"/>
    </row>
    <row r="865" spans="2:13">
      <c r="B865" s="391"/>
      <c r="C865" s="160"/>
      <c r="D865" s="160"/>
      <c r="E865" s="160"/>
      <c r="F865" s="160"/>
      <c r="G865" s="160"/>
      <c r="H865" s="160"/>
      <c r="I865" s="160"/>
      <c r="J865" s="160"/>
      <c r="K865" s="160"/>
      <c r="L865" s="160"/>
      <c r="M865" s="160"/>
    </row>
    <row r="866" spans="2:13">
      <c r="B866" s="391"/>
      <c r="C866" s="160"/>
      <c r="D866" s="160"/>
      <c r="E866" s="160"/>
      <c r="F866" s="160"/>
      <c r="G866" s="160"/>
      <c r="H866" s="160"/>
      <c r="I866" s="160"/>
      <c r="J866" s="160"/>
      <c r="K866" s="160"/>
      <c r="L866" s="160"/>
      <c r="M866" s="160"/>
    </row>
    <row r="867" spans="2:13">
      <c r="B867" s="391"/>
      <c r="C867" s="160"/>
      <c r="D867" s="160"/>
      <c r="E867" s="160"/>
      <c r="F867" s="160"/>
      <c r="G867" s="160"/>
      <c r="H867" s="160"/>
      <c r="I867" s="160"/>
      <c r="J867" s="160"/>
      <c r="K867" s="160"/>
      <c r="L867" s="160"/>
      <c r="M867" s="160"/>
    </row>
    <row r="868" spans="2:13">
      <c r="B868" s="391"/>
      <c r="C868" s="160"/>
      <c r="D868" s="160"/>
      <c r="E868" s="160"/>
      <c r="F868" s="160"/>
      <c r="G868" s="160"/>
      <c r="H868" s="160"/>
      <c r="I868" s="160"/>
      <c r="J868" s="160"/>
      <c r="K868" s="160"/>
      <c r="L868" s="160"/>
      <c r="M868" s="160"/>
    </row>
    <row r="869" spans="2:13">
      <c r="B869" s="391"/>
      <c r="C869" s="160"/>
      <c r="D869" s="160"/>
      <c r="E869" s="160"/>
      <c r="F869" s="160"/>
      <c r="G869" s="160"/>
      <c r="H869" s="160"/>
      <c r="I869" s="160"/>
      <c r="J869" s="160"/>
      <c r="K869" s="160"/>
      <c r="L869" s="160"/>
      <c r="M869" s="160"/>
    </row>
    <row r="870" spans="2:13">
      <c r="B870" s="391"/>
      <c r="C870" s="160"/>
      <c r="D870" s="160"/>
      <c r="E870" s="160"/>
      <c r="F870" s="160"/>
      <c r="G870" s="160"/>
      <c r="H870" s="160"/>
      <c r="I870" s="160"/>
      <c r="J870" s="160"/>
      <c r="K870" s="160"/>
      <c r="L870" s="160"/>
      <c r="M870" s="160"/>
    </row>
    <row r="871" spans="2:13">
      <c r="B871" s="391"/>
      <c r="C871" s="160"/>
      <c r="D871" s="160"/>
      <c r="E871" s="160"/>
      <c r="F871" s="160"/>
      <c r="G871" s="160"/>
      <c r="H871" s="160"/>
      <c r="I871" s="160"/>
      <c r="J871" s="160"/>
      <c r="K871" s="160"/>
      <c r="L871" s="160"/>
      <c r="M871" s="160"/>
    </row>
    <row r="872" spans="2:13">
      <c r="B872" s="391"/>
      <c r="C872" s="160"/>
      <c r="D872" s="160"/>
      <c r="E872" s="160"/>
      <c r="F872" s="160"/>
      <c r="G872" s="160"/>
      <c r="H872" s="160"/>
      <c r="I872" s="160"/>
      <c r="J872" s="160"/>
      <c r="K872" s="160"/>
      <c r="L872" s="160"/>
      <c r="M872" s="160"/>
    </row>
    <row r="873" spans="2:13">
      <c r="B873" s="391"/>
      <c r="C873" s="160"/>
      <c r="D873" s="160"/>
      <c r="E873" s="160"/>
      <c r="F873" s="160"/>
      <c r="G873" s="160"/>
      <c r="H873" s="160"/>
      <c r="I873" s="160"/>
      <c r="J873" s="160"/>
      <c r="K873" s="160"/>
      <c r="L873" s="160"/>
      <c r="M873" s="160"/>
    </row>
    <row r="874" spans="2:13">
      <c r="B874" s="391"/>
      <c r="C874" s="160"/>
      <c r="D874" s="160"/>
      <c r="E874" s="160"/>
      <c r="F874" s="160"/>
      <c r="G874" s="160"/>
      <c r="H874" s="160"/>
      <c r="I874" s="160"/>
      <c r="J874" s="160"/>
      <c r="K874" s="160"/>
      <c r="L874" s="160"/>
      <c r="M874" s="160"/>
    </row>
    <row r="875" spans="2:13">
      <c r="B875" s="391"/>
      <c r="C875" s="160"/>
      <c r="D875" s="160"/>
      <c r="E875" s="160"/>
      <c r="F875" s="160"/>
      <c r="G875" s="160"/>
      <c r="H875" s="160"/>
      <c r="I875" s="160"/>
      <c r="J875" s="160"/>
      <c r="K875" s="160"/>
      <c r="L875" s="160"/>
      <c r="M875" s="160"/>
    </row>
    <row r="876" spans="2:13">
      <c r="B876" s="391"/>
      <c r="C876" s="160"/>
      <c r="D876" s="160"/>
      <c r="E876" s="160"/>
      <c r="F876" s="160"/>
      <c r="G876" s="160"/>
      <c r="H876" s="160"/>
      <c r="I876" s="160"/>
      <c r="J876" s="160"/>
      <c r="K876" s="160"/>
      <c r="L876" s="160"/>
      <c r="M876" s="160"/>
    </row>
    <row r="877" spans="2:13">
      <c r="B877" s="391"/>
      <c r="C877" s="160"/>
      <c r="D877" s="160"/>
      <c r="E877" s="160"/>
      <c r="F877" s="160"/>
      <c r="G877" s="160"/>
      <c r="H877" s="160"/>
      <c r="I877" s="160"/>
      <c r="J877" s="160"/>
      <c r="K877" s="160"/>
      <c r="L877" s="160"/>
      <c r="M877" s="160"/>
    </row>
    <row r="878" spans="2:13">
      <c r="B878" s="391"/>
      <c r="C878" s="160"/>
      <c r="D878" s="160"/>
      <c r="E878" s="160"/>
      <c r="F878" s="160"/>
      <c r="G878" s="160"/>
      <c r="H878" s="160"/>
      <c r="I878" s="160"/>
      <c r="J878" s="160"/>
      <c r="K878" s="160"/>
      <c r="L878" s="160"/>
      <c r="M878" s="160"/>
    </row>
    <row r="879" spans="2:13">
      <c r="B879" s="391"/>
      <c r="C879" s="160"/>
      <c r="D879" s="160"/>
      <c r="E879" s="160"/>
      <c r="F879" s="160"/>
      <c r="G879" s="160"/>
      <c r="H879" s="160"/>
      <c r="I879" s="160"/>
      <c r="J879" s="160"/>
      <c r="K879" s="160"/>
      <c r="L879" s="160"/>
      <c r="M879" s="160"/>
    </row>
    <row r="880" spans="2:13">
      <c r="B880" s="391"/>
      <c r="C880" s="160"/>
      <c r="D880" s="160"/>
      <c r="E880" s="160"/>
      <c r="F880" s="160"/>
      <c r="G880" s="160"/>
      <c r="H880" s="160"/>
      <c r="I880" s="160"/>
      <c r="J880" s="160"/>
      <c r="K880" s="160"/>
      <c r="L880" s="160"/>
      <c r="M880" s="160"/>
    </row>
    <row r="881" spans="2:13">
      <c r="B881" s="391"/>
      <c r="C881" s="160"/>
      <c r="D881" s="160"/>
      <c r="E881" s="160"/>
      <c r="F881" s="160"/>
      <c r="G881" s="160"/>
      <c r="H881" s="160"/>
      <c r="I881" s="160"/>
      <c r="J881" s="160"/>
      <c r="K881" s="160"/>
      <c r="L881" s="160"/>
      <c r="M881" s="160"/>
    </row>
    <row r="882" spans="2:13">
      <c r="B882" s="391"/>
      <c r="C882" s="160"/>
      <c r="D882" s="160"/>
      <c r="E882" s="160"/>
      <c r="F882" s="160"/>
      <c r="G882" s="160"/>
      <c r="H882" s="160"/>
      <c r="I882" s="160"/>
      <c r="J882" s="160"/>
      <c r="K882" s="160"/>
      <c r="L882" s="160"/>
      <c r="M882" s="160"/>
    </row>
    <row r="883" spans="2:13">
      <c r="B883" s="391"/>
      <c r="C883" s="160"/>
      <c r="D883" s="160"/>
      <c r="E883" s="160"/>
      <c r="F883" s="160"/>
      <c r="G883" s="160"/>
      <c r="H883" s="160"/>
      <c r="I883" s="160"/>
      <c r="J883" s="160"/>
      <c r="K883" s="160"/>
      <c r="L883" s="160"/>
      <c r="M883" s="160"/>
    </row>
    <row r="884" spans="2:13">
      <c r="B884" s="391"/>
      <c r="C884" s="160"/>
      <c r="D884" s="160"/>
      <c r="E884" s="160"/>
      <c r="F884" s="160"/>
      <c r="G884" s="160"/>
      <c r="H884" s="160"/>
      <c r="I884" s="160"/>
      <c r="J884" s="160"/>
      <c r="K884" s="160"/>
      <c r="L884" s="160"/>
      <c r="M884" s="160"/>
    </row>
    <row r="885" spans="2:13">
      <c r="B885" s="391"/>
      <c r="C885" s="160"/>
      <c r="D885" s="160"/>
      <c r="E885" s="160"/>
      <c r="F885" s="160"/>
      <c r="G885" s="160"/>
      <c r="H885" s="160"/>
      <c r="I885" s="160"/>
      <c r="J885" s="160"/>
      <c r="K885" s="160"/>
      <c r="L885" s="160"/>
      <c r="M885" s="160"/>
    </row>
    <row r="886" spans="2:13">
      <c r="B886" s="391"/>
      <c r="C886" s="160"/>
      <c r="D886" s="160"/>
      <c r="E886" s="160"/>
      <c r="F886" s="160"/>
      <c r="G886" s="160"/>
      <c r="H886" s="160"/>
      <c r="I886" s="160"/>
      <c r="J886" s="160"/>
      <c r="K886" s="160"/>
      <c r="L886" s="160"/>
      <c r="M886" s="160"/>
    </row>
    <row r="887" spans="2:13">
      <c r="B887" s="391"/>
      <c r="C887" s="160"/>
      <c r="D887" s="160"/>
      <c r="E887" s="160"/>
      <c r="F887" s="160"/>
      <c r="G887" s="160"/>
      <c r="H887" s="160"/>
      <c r="I887" s="160"/>
      <c r="J887" s="160"/>
      <c r="K887" s="160"/>
      <c r="L887" s="160"/>
      <c r="M887" s="160"/>
    </row>
    <row r="888" spans="2:13">
      <c r="B888" s="391"/>
      <c r="C888" s="160"/>
      <c r="D888" s="160"/>
      <c r="E888" s="160"/>
      <c r="F888" s="160"/>
      <c r="G888" s="160"/>
      <c r="H888" s="160"/>
      <c r="I888" s="160"/>
      <c r="J888" s="160"/>
      <c r="K888" s="160"/>
      <c r="L888" s="160"/>
      <c r="M888" s="160"/>
    </row>
    <row r="889" spans="2:13">
      <c r="B889" s="391"/>
      <c r="C889" s="160"/>
      <c r="D889" s="160"/>
      <c r="E889" s="160"/>
      <c r="F889" s="160"/>
      <c r="G889" s="160"/>
      <c r="H889" s="160"/>
      <c r="I889" s="160"/>
      <c r="J889" s="160"/>
      <c r="K889" s="160"/>
      <c r="L889" s="160"/>
      <c r="M889" s="160"/>
    </row>
    <row r="890" spans="2:13">
      <c r="B890" s="391"/>
      <c r="C890" s="160"/>
      <c r="D890" s="160"/>
      <c r="E890" s="160"/>
      <c r="F890" s="160"/>
      <c r="G890" s="160"/>
      <c r="H890" s="160"/>
      <c r="I890" s="160"/>
      <c r="J890" s="160"/>
      <c r="K890" s="160"/>
      <c r="L890" s="160"/>
      <c r="M890" s="160"/>
    </row>
    <row r="891" spans="2:13">
      <c r="B891" s="391"/>
      <c r="C891" s="160"/>
      <c r="D891" s="160"/>
      <c r="E891" s="160"/>
      <c r="F891" s="160"/>
      <c r="G891" s="160"/>
      <c r="H891" s="160"/>
      <c r="I891" s="160"/>
      <c r="J891" s="160"/>
      <c r="K891" s="160"/>
      <c r="L891" s="160"/>
      <c r="M891" s="160"/>
    </row>
    <row r="892" spans="2:13">
      <c r="B892" s="391"/>
      <c r="C892" s="160"/>
      <c r="D892" s="160"/>
      <c r="E892" s="160"/>
      <c r="F892" s="160"/>
      <c r="G892" s="160"/>
      <c r="H892" s="160"/>
      <c r="I892" s="160"/>
      <c r="J892" s="160"/>
      <c r="K892" s="160"/>
      <c r="L892" s="160"/>
      <c r="M892" s="160"/>
    </row>
    <row r="893" spans="2:13">
      <c r="B893" s="391"/>
      <c r="C893" s="160"/>
      <c r="D893" s="160"/>
      <c r="E893" s="160"/>
      <c r="F893" s="160"/>
      <c r="G893" s="160"/>
      <c r="H893" s="160"/>
      <c r="I893" s="160"/>
      <c r="J893" s="160"/>
      <c r="K893" s="160"/>
      <c r="L893" s="160"/>
      <c r="M893" s="160"/>
    </row>
    <row r="894" spans="2:13">
      <c r="B894" s="391"/>
      <c r="C894" s="160"/>
      <c r="D894" s="160"/>
      <c r="E894" s="160"/>
      <c r="F894" s="160"/>
      <c r="G894" s="160"/>
      <c r="H894" s="160"/>
      <c r="I894" s="160"/>
      <c r="J894" s="160"/>
      <c r="K894" s="160"/>
      <c r="L894" s="160"/>
      <c r="M894" s="160"/>
    </row>
    <row r="895" spans="2:13">
      <c r="B895" s="391"/>
      <c r="C895" s="160"/>
      <c r="D895" s="160"/>
      <c r="E895" s="160"/>
      <c r="F895" s="160"/>
      <c r="G895" s="160"/>
      <c r="H895" s="160"/>
      <c r="I895" s="160"/>
      <c r="J895" s="160"/>
      <c r="K895" s="160"/>
      <c r="L895" s="160"/>
      <c r="M895" s="160"/>
    </row>
    <row r="896" spans="2:13">
      <c r="B896" s="391"/>
      <c r="C896" s="160"/>
      <c r="D896" s="160"/>
      <c r="E896" s="160"/>
      <c r="F896" s="160"/>
      <c r="G896" s="160"/>
      <c r="H896" s="160"/>
      <c r="I896" s="160"/>
      <c r="J896" s="160"/>
      <c r="K896" s="160"/>
      <c r="L896" s="160"/>
      <c r="M896" s="160"/>
    </row>
    <row r="897" spans="2:13">
      <c r="B897" s="391"/>
      <c r="C897" s="160"/>
      <c r="D897" s="160"/>
      <c r="E897" s="160"/>
      <c r="F897" s="160"/>
      <c r="G897" s="160"/>
      <c r="H897" s="160"/>
      <c r="I897" s="160"/>
      <c r="J897" s="160"/>
      <c r="K897" s="160"/>
      <c r="L897" s="160"/>
      <c r="M897" s="160"/>
    </row>
    <row r="898" spans="2:13">
      <c r="B898" s="391"/>
      <c r="C898" s="160"/>
      <c r="D898" s="160"/>
      <c r="E898" s="160"/>
      <c r="F898" s="160"/>
      <c r="G898" s="160"/>
      <c r="H898" s="160"/>
      <c r="I898" s="160"/>
      <c r="J898" s="160"/>
      <c r="K898" s="160"/>
      <c r="L898" s="160"/>
      <c r="M898" s="160"/>
    </row>
    <row r="899" spans="2:13">
      <c r="B899" s="391"/>
      <c r="C899" s="160"/>
      <c r="D899" s="160"/>
      <c r="E899" s="160"/>
      <c r="F899" s="160"/>
      <c r="G899" s="160"/>
      <c r="H899" s="160"/>
      <c r="I899" s="160"/>
      <c r="J899" s="160"/>
      <c r="K899" s="160"/>
      <c r="L899" s="160"/>
      <c r="M899" s="160"/>
    </row>
    <row r="900" spans="2:13">
      <c r="B900" s="391"/>
      <c r="C900" s="160"/>
      <c r="D900" s="160"/>
      <c r="E900" s="160"/>
      <c r="F900" s="160"/>
      <c r="G900" s="160"/>
      <c r="H900" s="160"/>
      <c r="I900" s="160"/>
      <c r="J900" s="160"/>
      <c r="K900" s="160"/>
      <c r="L900" s="160"/>
      <c r="M900" s="160"/>
    </row>
    <row r="901" spans="2:13">
      <c r="B901" s="391"/>
      <c r="C901" s="160"/>
      <c r="D901" s="160"/>
      <c r="E901" s="160"/>
      <c r="F901" s="160"/>
      <c r="G901" s="160"/>
      <c r="H901" s="160"/>
      <c r="I901" s="160"/>
      <c r="J901" s="160"/>
      <c r="K901" s="160"/>
      <c r="L901" s="160"/>
      <c r="M901" s="160"/>
    </row>
    <row r="902" spans="2:13">
      <c r="B902" s="391"/>
      <c r="C902" s="160"/>
      <c r="D902" s="160"/>
      <c r="E902" s="160"/>
      <c r="F902" s="160"/>
      <c r="G902" s="160"/>
      <c r="H902" s="160"/>
      <c r="I902" s="160"/>
      <c r="J902" s="160"/>
      <c r="K902" s="160"/>
      <c r="L902" s="160"/>
      <c r="M902" s="160"/>
    </row>
    <row r="903" spans="2:13">
      <c r="B903" s="391"/>
      <c r="C903" s="160"/>
      <c r="D903" s="160"/>
      <c r="E903" s="160"/>
      <c r="F903" s="160"/>
      <c r="G903" s="160"/>
      <c r="H903" s="160"/>
      <c r="I903" s="160"/>
      <c r="J903" s="160"/>
      <c r="K903" s="160"/>
      <c r="L903" s="160"/>
      <c r="M903" s="160"/>
    </row>
    <row r="904" spans="2:13">
      <c r="B904" s="391"/>
      <c r="C904" s="160"/>
      <c r="D904" s="160"/>
      <c r="E904" s="160"/>
      <c r="F904" s="160"/>
      <c r="G904" s="160"/>
      <c r="H904" s="160"/>
      <c r="I904" s="160"/>
      <c r="J904" s="160"/>
      <c r="K904" s="160"/>
      <c r="L904" s="160"/>
      <c r="M904" s="160"/>
    </row>
    <row r="905" spans="2:13">
      <c r="B905" s="391"/>
      <c r="C905" s="160"/>
      <c r="D905" s="160"/>
      <c r="E905" s="160"/>
      <c r="F905" s="160"/>
      <c r="G905" s="160"/>
      <c r="H905" s="160"/>
      <c r="I905" s="160"/>
      <c r="J905" s="160"/>
      <c r="K905" s="160"/>
      <c r="L905" s="160"/>
      <c r="M905" s="160"/>
    </row>
    <row r="906" spans="2:13">
      <c r="B906" s="391"/>
      <c r="C906" s="160"/>
      <c r="D906" s="160"/>
      <c r="E906" s="160"/>
      <c r="F906" s="160"/>
      <c r="G906" s="160"/>
      <c r="H906" s="160"/>
      <c r="I906" s="160"/>
      <c r="J906" s="160"/>
      <c r="K906" s="160"/>
      <c r="L906" s="160"/>
      <c r="M906" s="160"/>
    </row>
    <row r="907" spans="2:13">
      <c r="B907" s="391"/>
      <c r="C907" s="160"/>
      <c r="D907" s="160"/>
      <c r="E907" s="160"/>
      <c r="F907" s="160"/>
      <c r="G907" s="160"/>
      <c r="H907" s="160"/>
      <c r="I907" s="160"/>
      <c r="J907" s="160"/>
      <c r="K907" s="160"/>
      <c r="L907" s="160"/>
      <c r="M907" s="160"/>
    </row>
    <row r="908" spans="2:13">
      <c r="B908" s="391"/>
      <c r="C908" s="160"/>
      <c r="D908" s="160"/>
      <c r="E908" s="160"/>
      <c r="F908" s="160"/>
      <c r="G908" s="160"/>
      <c r="H908" s="160"/>
      <c r="I908" s="160"/>
      <c r="J908" s="160"/>
      <c r="K908" s="160"/>
      <c r="L908" s="160"/>
      <c r="M908" s="160"/>
    </row>
    <row r="909" spans="2:13">
      <c r="B909" s="391"/>
      <c r="C909" s="160"/>
      <c r="D909" s="160"/>
      <c r="E909" s="160"/>
      <c r="F909" s="160"/>
      <c r="G909" s="160"/>
      <c r="H909" s="160"/>
      <c r="I909" s="160"/>
      <c r="J909" s="160"/>
      <c r="K909" s="160"/>
      <c r="L909" s="160"/>
      <c r="M909" s="160"/>
    </row>
    <row r="910" spans="2:13">
      <c r="B910" s="391"/>
      <c r="C910" s="160"/>
      <c r="D910" s="160"/>
      <c r="E910" s="160"/>
      <c r="F910" s="160"/>
      <c r="G910" s="160"/>
      <c r="H910" s="160"/>
      <c r="I910" s="160"/>
      <c r="J910" s="160"/>
      <c r="K910" s="160"/>
      <c r="L910" s="160"/>
      <c r="M910" s="160"/>
    </row>
    <row r="911" spans="2:13">
      <c r="B911" s="391"/>
      <c r="C911" s="160"/>
      <c r="D911" s="160"/>
      <c r="E911" s="160"/>
      <c r="F911" s="160"/>
      <c r="G911" s="160"/>
      <c r="H911" s="160"/>
      <c r="I911" s="160"/>
      <c r="J911" s="160"/>
      <c r="K911" s="160"/>
      <c r="L911" s="160"/>
      <c r="M911" s="160"/>
    </row>
    <row r="912" spans="2:13">
      <c r="B912" s="391"/>
      <c r="C912" s="160"/>
      <c r="D912" s="160"/>
      <c r="E912" s="160"/>
      <c r="F912" s="160"/>
      <c r="G912" s="160"/>
      <c r="H912" s="160"/>
      <c r="I912" s="160"/>
      <c r="J912" s="160"/>
      <c r="K912" s="160"/>
      <c r="L912" s="160"/>
      <c r="M912" s="160"/>
    </row>
    <row r="913" spans="2:13">
      <c r="B913" s="391"/>
      <c r="C913" s="160"/>
      <c r="D913" s="160"/>
      <c r="E913" s="160"/>
      <c r="F913" s="160"/>
      <c r="G913" s="160"/>
      <c r="H913" s="160"/>
      <c r="I913" s="160"/>
      <c r="J913" s="160"/>
      <c r="K913" s="160"/>
      <c r="L913" s="160"/>
      <c r="M913" s="160"/>
    </row>
    <row r="914" spans="2:13">
      <c r="B914" s="391"/>
      <c r="C914" s="160"/>
      <c r="D914" s="160"/>
      <c r="E914" s="160"/>
      <c r="F914" s="160"/>
      <c r="G914" s="160"/>
      <c r="H914" s="160"/>
      <c r="I914" s="160"/>
      <c r="J914" s="160"/>
      <c r="K914" s="160"/>
      <c r="L914" s="160"/>
      <c r="M914" s="160"/>
    </row>
    <row r="915" spans="2:13">
      <c r="B915" s="391"/>
      <c r="C915" s="160"/>
      <c r="D915" s="160"/>
      <c r="E915" s="160"/>
      <c r="F915" s="160"/>
      <c r="G915" s="160"/>
      <c r="H915" s="160"/>
      <c r="I915" s="160"/>
      <c r="J915" s="160"/>
      <c r="K915" s="160"/>
      <c r="L915" s="160"/>
      <c r="M915" s="160"/>
    </row>
    <row r="916" spans="2:13">
      <c r="B916" s="391"/>
      <c r="C916" s="160"/>
      <c r="D916" s="160"/>
      <c r="E916" s="160"/>
      <c r="F916" s="160"/>
      <c r="G916" s="160"/>
      <c r="H916" s="160"/>
      <c r="I916" s="160"/>
      <c r="J916" s="160"/>
      <c r="K916" s="160"/>
      <c r="L916" s="160"/>
      <c r="M916" s="160"/>
    </row>
    <row r="917" spans="2:13">
      <c r="B917" s="391"/>
      <c r="C917" s="160"/>
      <c r="D917" s="160"/>
      <c r="E917" s="160"/>
      <c r="F917" s="160"/>
      <c r="G917" s="160"/>
      <c r="H917" s="160"/>
      <c r="I917" s="160"/>
      <c r="J917" s="160"/>
      <c r="K917" s="160"/>
      <c r="L917" s="160"/>
      <c r="M917" s="160"/>
    </row>
    <row r="918" spans="2:13">
      <c r="B918" s="391"/>
      <c r="C918" s="160"/>
      <c r="D918" s="160"/>
      <c r="E918" s="160"/>
      <c r="F918" s="160"/>
      <c r="G918" s="160"/>
      <c r="H918" s="160"/>
      <c r="I918" s="160"/>
      <c r="J918" s="160"/>
      <c r="K918" s="160"/>
      <c r="L918" s="160"/>
      <c r="M918" s="160"/>
    </row>
    <row r="919" spans="2:13">
      <c r="B919" s="391"/>
      <c r="C919" s="160"/>
      <c r="D919" s="160"/>
      <c r="E919" s="160"/>
      <c r="F919" s="160"/>
      <c r="G919" s="160"/>
      <c r="H919" s="160"/>
      <c r="I919" s="160"/>
      <c r="J919" s="160"/>
      <c r="K919" s="160"/>
      <c r="L919" s="160"/>
      <c r="M919" s="160"/>
    </row>
    <row r="920" spans="2:13">
      <c r="B920" s="391"/>
      <c r="C920" s="160"/>
      <c r="D920" s="160"/>
      <c r="E920" s="160"/>
      <c r="F920" s="160"/>
      <c r="G920" s="160"/>
      <c r="H920" s="160"/>
      <c r="I920" s="160"/>
      <c r="J920" s="160"/>
      <c r="K920" s="160"/>
      <c r="L920" s="160"/>
      <c r="M920" s="160"/>
    </row>
    <row r="921" spans="2:13">
      <c r="B921" s="391"/>
      <c r="C921" s="160"/>
      <c r="D921" s="160"/>
      <c r="E921" s="160"/>
      <c r="F921" s="160"/>
      <c r="G921" s="160"/>
      <c r="H921" s="160"/>
      <c r="I921" s="160"/>
      <c r="J921" s="160"/>
      <c r="K921" s="160"/>
      <c r="L921" s="160"/>
      <c r="M921" s="160"/>
    </row>
    <row r="922" spans="2:13">
      <c r="B922" s="391"/>
      <c r="C922" s="160"/>
      <c r="D922" s="160"/>
      <c r="E922" s="160"/>
      <c r="F922" s="160"/>
      <c r="G922" s="160"/>
      <c r="H922" s="160"/>
      <c r="I922" s="160"/>
      <c r="J922" s="160"/>
      <c r="K922" s="160"/>
      <c r="L922" s="160"/>
      <c r="M922" s="160"/>
    </row>
    <row r="923" spans="2:13">
      <c r="B923" s="391"/>
      <c r="C923" s="160"/>
      <c r="D923" s="160"/>
      <c r="E923" s="160"/>
      <c r="F923" s="160"/>
      <c r="G923" s="160"/>
      <c r="H923" s="160"/>
      <c r="I923" s="160"/>
      <c r="J923" s="160"/>
      <c r="K923" s="160"/>
      <c r="L923" s="160"/>
      <c r="M923" s="160"/>
    </row>
    <row r="924" spans="2:13">
      <c r="B924" s="391"/>
      <c r="C924" s="160"/>
      <c r="D924" s="160"/>
      <c r="E924" s="160"/>
      <c r="F924" s="160"/>
      <c r="G924" s="160"/>
      <c r="H924" s="160"/>
      <c r="I924" s="160"/>
      <c r="J924" s="160"/>
      <c r="K924" s="160"/>
      <c r="L924" s="160"/>
      <c r="M924" s="160"/>
    </row>
    <row r="925" spans="2:13">
      <c r="B925" s="391"/>
      <c r="C925" s="160"/>
      <c r="D925" s="160"/>
      <c r="E925" s="160"/>
      <c r="F925" s="160"/>
      <c r="G925" s="160"/>
      <c r="H925" s="160"/>
      <c r="I925" s="160"/>
      <c r="J925" s="160"/>
      <c r="K925" s="160"/>
      <c r="L925" s="160"/>
      <c r="M925" s="160"/>
    </row>
    <row r="926" spans="2:13">
      <c r="B926" s="391"/>
      <c r="C926" s="160"/>
      <c r="D926" s="160"/>
      <c r="E926" s="160"/>
      <c r="F926" s="160"/>
      <c r="G926" s="160"/>
      <c r="H926" s="160"/>
      <c r="I926" s="160"/>
      <c r="J926" s="160"/>
      <c r="K926" s="160"/>
      <c r="L926" s="160"/>
      <c r="M926" s="160"/>
    </row>
    <row r="927" spans="2:13">
      <c r="B927" s="391"/>
      <c r="C927" s="160"/>
      <c r="D927" s="160"/>
      <c r="E927" s="160"/>
      <c r="F927" s="160"/>
      <c r="G927" s="160"/>
      <c r="H927" s="160"/>
      <c r="I927" s="160"/>
      <c r="J927" s="160"/>
      <c r="K927" s="160"/>
      <c r="L927" s="160"/>
      <c r="M927" s="160"/>
    </row>
    <row r="928" spans="2:13">
      <c r="B928" s="391"/>
      <c r="C928" s="160"/>
      <c r="D928" s="160"/>
      <c r="E928" s="160"/>
      <c r="F928" s="160"/>
      <c r="G928" s="160"/>
      <c r="H928" s="160"/>
      <c r="I928" s="160"/>
      <c r="J928" s="160"/>
      <c r="K928" s="160"/>
      <c r="L928" s="160"/>
      <c r="M928" s="160"/>
    </row>
    <row r="929" spans="2:13">
      <c r="B929" s="391"/>
      <c r="C929" s="160"/>
      <c r="D929" s="160"/>
      <c r="E929" s="160"/>
      <c r="F929" s="160"/>
      <c r="G929" s="160"/>
      <c r="H929" s="160"/>
      <c r="I929" s="160"/>
      <c r="J929" s="160"/>
      <c r="K929" s="160"/>
      <c r="L929" s="160"/>
      <c r="M929" s="160"/>
    </row>
    <row r="930" spans="2:13">
      <c r="B930" s="391"/>
      <c r="C930" s="160"/>
      <c r="D930" s="160"/>
      <c r="E930" s="160"/>
      <c r="F930" s="160"/>
      <c r="G930" s="160"/>
      <c r="H930" s="160"/>
      <c r="I930" s="160"/>
      <c r="J930" s="160"/>
      <c r="K930" s="160"/>
      <c r="L930" s="160"/>
      <c r="M930" s="160"/>
    </row>
    <row r="931" spans="2:13">
      <c r="B931" s="391"/>
      <c r="C931" s="160"/>
      <c r="D931" s="160"/>
      <c r="E931" s="160"/>
      <c r="F931" s="160"/>
      <c r="G931" s="160"/>
      <c r="H931" s="160"/>
      <c r="I931" s="160"/>
      <c r="J931" s="160"/>
      <c r="K931" s="160"/>
      <c r="L931" s="160"/>
      <c r="M931" s="160"/>
    </row>
    <row r="932" spans="2:13">
      <c r="B932" s="391"/>
      <c r="C932" s="160"/>
      <c r="D932" s="160"/>
      <c r="E932" s="160"/>
      <c r="F932" s="160"/>
      <c r="G932" s="160"/>
      <c r="H932" s="160"/>
      <c r="I932" s="160"/>
      <c r="J932" s="160"/>
      <c r="K932" s="160"/>
      <c r="L932" s="160"/>
      <c r="M932" s="160"/>
    </row>
    <row r="933" spans="2:13">
      <c r="B933" s="391"/>
      <c r="C933" s="160"/>
      <c r="D933" s="160"/>
      <c r="E933" s="160"/>
      <c r="F933" s="160"/>
      <c r="G933" s="160"/>
      <c r="H933" s="160"/>
      <c r="I933" s="160"/>
      <c r="J933" s="160"/>
      <c r="K933" s="160"/>
      <c r="L933" s="160"/>
      <c r="M933" s="160"/>
    </row>
    <row r="934" spans="2:13">
      <c r="B934" s="391"/>
      <c r="C934" s="160"/>
      <c r="D934" s="160"/>
      <c r="E934" s="160"/>
      <c r="F934" s="160"/>
      <c r="G934" s="160"/>
      <c r="H934" s="160"/>
      <c r="I934" s="160"/>
      <c r="J934" s="160"/>
      <c r="K934" s="160"/>
      <c r="L934" s="160"/>
      <c r="M934" s="160"/>
    </row>
    <row r="935" spans="2:13">
      <c r="B935" s="391"/>
      <c r="C935" s="160"/>
      <c r="D935" s="160"/>
      <c r="E935" s="160"/>
      <c r="F935" s="160"/>
      <c r="G935" s="160"/>
      <c r="H935" s="160"/>
      <c r="I935" s="160"/>
      <c r="J935" s="160"/>
      <c r="K935" s="160"/>
      <c r="L935" s="160"/>
      <c r="M935" s="160"/>
    </row>
    <row r="936" spans="2:13">
      <c r="B936" s="391"/>
      <c r="C936" s="160"/>
      <c r="D936" s="160"/>
      <c r="E936" s="160"/>
      <c r="F936" s="160"/>
      <c r="G936" s="160"/>
      <c r="H936" s="160"/>
      <c r="I936" s="160"/>
      <c r="J936" s="160"/>
      <c r="K936" s="160"/>
      <c r="L936" s="160"/>
      <c r="M936" s="160"/>
    </row>
    <row r="937" spans="2:13">
      <c r="B937" s="391"/>
      <c r="C937" s="160"/>
      <c r="D937" s="160"/>
      <c r="E937" s="160"/>
      <c r="F937" s="160"/>
      <c r="G937" s="160"/>
      <c r="H937" s="160"/>
      <c r="I937" s="160"/>
      <c r="J937" s="160"/>
      <c r="K937" s="160"/>
      <c r="L937" s="160"/>
      <c r="M937" s="160"/>
    </row>
    <row r="938" spans="2:13">
      <c r="B938" s="391"/>
      <c r="C938" s="160"/>
      <c r="D938" s="160"/>
      <c r="E938" s="160"/>
      <c r="F938" s="160"/>
      <c r="G938" s="160"/>
      <c r="H938" s="160"/>
      <c r="I938" s="160"/>
      <c r="J938" s="160"/>
      <c r="K938" s="160"/>
      <c r="L938" s="160"/>
      <c r="M938" s="160"/>
    </row>
    <row r="939" spans="2:13">
      <c r="B939" s="391"/>
      <c r="C939" s="160"/>
      <c r="D939" s="160"/>
      <c r="E939" s="160"/>
      <c r="F939" s="160"/>
      <c r="G939" s="160"/>
      <c r="H939" s="160"/>
      <c r="I939" s="160"/>
      <c r="J939" s="160"/>
      <c r="K939" s="160"/>
      <c r="L939" s="160"/>
      <c r="M939" s="160"/>
    </row>
    <row r="940" spans="2:13">
      <c r="B940" s="391"/>
      <c r="C940" s="160"/>
      <c r="D940" s="160"/>
      <c r="E940" s="160"/>
      <c r="F940" s="160"/>
      <c r="G940" s="160"/>
      <c r="H940" s="160"/>
      <c r="I940" s="160"/>
      <c r="J940" s="160"/>
      <c r="K940" s="160"/>
      <c r="L940" s="160"/>
      <c r="M940" s="160"/>
    </row>
    <row r="941" spans="2:13">
      <c r="B941" s="391"/>
      <c r="C941" s="160"/>
      <c r="D941" s="160"/>
      <c r="E941" s="160"/>
      <c r="F941" s="160"/>
      <c r="G941" s="160"/>
      <c r="H941" s="160"/>
      <c r="I941" s="160"/>
      <c r="J941" s="160"/>
      <c r="K941" s="160"/>
      <c r="L941" s="160"/>
      <c r="M941" s="160"/>
    </row>
    <row r="942" spans="2:13">
      <c r="B942" s="391"/>
      <c r="C942" s="160"/>
      <c r="D942" s="160"/>
      <c r="E942" s="160"/>
      <c r="F942" s="160"/>
      <c r="G942" s="160"/>
      <c r="H942" s="160"/>
      <c r="I942" s="160"/>
      <c r="J942" s="160"/>
      <c r="K942" s="160"/>
      <c r="L942" s="160"/>
      <c r="M942" s="160"/>
    </row>
    <row r="943" spans="2:13">
      <c r="B943" s="391"/>
      <c r="C943" s="160"/>
      <c r="D943" s="160"/>
      <c r="E943" s="160"/>
      <c r="F943" s="160"/>
      <c r="G943" s="160"/>
      <c r="H943" s="160"/>
      <c r="I943" s="160"/>
      <c r="J943" s="160"/>
      <c r="K943" s="160"/>
      <c r="L943" s="160"/>
      <c r="M943" s="160"/>
    </row>
    <row r="944" spans="2:13">
      <c r="B944" s="391"/>
      <c r="C944" s="160"/>
      <c r="D944" s="160"/>
      <c r="E944" s="160"/>
      <c r="F944" s="160"/>
      <c r="G944" s="160"/>
      <c r="H944" s="160"/>
      <c r="I944" s="160"/>
      <c r="J944" s="160"/>
      <c r="K944" s="160"/>
      <c r="L944" s="160"/>
      <c r="M944" s="160"/>
    </row>
    <row r="945" spans="2:13">
      <c r="B945" s="391"/>
      <c r="C945" s="160"/>
      <c r="D945" s="160"/>
      <c r="E945" s="160"/>
      <c r="F945" s="160"/>
      <c r="G945" s="160"/>
      <c r="H945" s="160"/>
      <c r="I945" s="160"/>
      <c r="J945" s="160"/>
      <c r="K945" s="160"/>
      <c r="L945" s="160"/>
      <c r="M945" s="160"/>
    </row>
    <row r="946" spans="2:13">
      <c r="B946" s="391"/>
      <c r="C946" s="160"/>
      <c r="D946" s="160"/>
      <c r="E946" s="160"/>
      <c r="F946" s="160"/>
      <c r="G946" s="160"/>
      <c r="H946" s="160"/>
      <c r="I946" s="160"/>
      <c r="J946" s="160"/>
      <c r="K946" s="160"/>
      <c r="L946" s="160"/>
      <c r="M946" s="160"/>
    </row>
    <row r="947" spans="2:13">
      <c r="B947" s="391"/>
      <c r="C947" s="160"/>
      <c r="D947" s="160"/>
      <c r="E947" s="160"/>
      <c r="F947" s="160"/>
      <c r="G947" s="160"/>
      <c r="H947" s="160"/>
      <c r="I947" s="160"/>
      <c r="J947" s="160"/>
      <c r="K947" s="160"/>
      <c r="L947" s="160"/>
      <c r="M947" s="160"/>
    </row>
    <row r="948" spans="2:13">
      <c r="B948" s="391"/>
      <c r="C948" s="160"/>
      <c r="D948" s="160"/>
      <c r="E948" s="160"/>
      <c r="F948" s="160"/>
      <c r="G948" s="160"/>
      <c r="H948" s="160"/>
      <c r="I948" s="160"/>
      <c r="J948" s="160"/>
      <c r="K948" s="160"/>
      <c r="L948" s="160"/>
      <c r="M948" s="160"/>
    </row>
    <row r="949" spans="2:13">
      <c r="B949" s="391"/>
      <c r="C949" s="160"/>
      <c r="D949" s="160"/>
      <c r="E949" s="160"/>
      <c r="F949" s="160"/>
      <c r="G949" s="160"/>
      <c r="H949" s="160"/>
      <c r="I949" s="160"/>
      <c r="J949" s="160"/>
      <c r="K949" s="160"/>
      <c r="L949" s="160"/>
      <c r="M949" s="160"/>
    </row>
    <row r="950" spans="2:13">
      <c r="B950" s="391"/>
      <c r="C950" s="160"/>
      <c r="D950" s="160"/>
      <c r="E950" s="160"/>
      <c r="F950" s="160"/>
      <c r="G950" s="160"/>
      <c r="H950" s="160"/>
      <c r="I950" s="160"/>
      <c r="J950" s="160"/>
      <c r="K950" s="160"/>
      <c r="L950" s="160"/>
      <c r="M950" s="160"/>
    </row>
    <row r="951" spans="2:13">
      <c r="B951" s="391"/>
      <c r="C951" s="160"/>
      <c r="D951" s="160"/>
      <c r="E951" s="160"/>
      <c r="F951" s="160"/>
      <c r="G951" s="160"/>
      <c r="H951" s="160"/>
      <c r="I951" s="160"/>
      <c r="J951" s="160"/>
      <c r="K951" s="160"/>
      <c r="L951" s="160"/>
      <c r="M951" s="160"/>
    </row>
    <row r="952" spans="2:13">
      <c r="B952" s="391"/>
      <c r="C952" s="160"/>
      <c r="D952" s="160"/>
      <c r="E952" s="160"/>
      <c r="F952" s="160"/>
      <c r="G952" s="160"/>
      <c r="H952" s="160"/>
      <c r="I952" s="160"/>
      <c r="J952" s="160"/>
      <c r="K952" s="160"/>
      <c r="L952" s="160"/>
      <c r="M952" s="160"/>
    </row>
    <row r="953" spans="2:13">
      <c r="B953" s="391"/>
      <c r="C953" s="160"/>
      <c r="D953" s="160"/>
      <c r="E953" s="160"/>
      <c r="F953" s="160"/>
      <c r="G953" s="160"/>
      <c r="H953" s="160"/>
      <c r="I953" s="160"/>
      <c r="J953" s="160"/>
      <c r="K953" s="160"/>
      <c r="L953" s="160"/>
      <c r="M953" s="160"/>
    </row>
    <row r="954" spans="2:13">
      <c r="B954" s="391"/>
      <c r="C954" s="160"/>
      <c r="D954" s="160"/>
      <c r="E954" s="160"/>
      <c r="F954" s="160"/>
      <c r="G954" s="160"/>
      <c r="H954" s="160"/>
      <c r="I954" s="160"/>
      <c r="J954" s="160"/>
      <c r="K954" s="160"/>
      <c r="L954" s="160"/>
      <c r="M954" s="160"/>
    </row>
    <row r="955" spans="2:13">
      <c r="B955" s="391"/>
      <c r="C955" s="160"/>
      <c r="D955" s="160"/>
      <c r="E955" s="160"/>
      <c r="F955" s="160"/>
      <c r="G955" s="160"/>
      <c r="H955" s="160"/>
      <c r="I955" s="160"/>
      <c r="J955" s="160"/>
      <c r="K955" s="160"/>
      <c r="L955" s="160"/>
      <c r="M955" s="160"/>
    </row>
    <row r="956" spans="2:13">
      <c r="B956" s="391"/>
      <c r="C956" s="160"/>
      <c r="D956" s="160"/>
      <c r="E956" s="160"/>
      <c r="F956" s="160"/>
      <c r="G956" s="160"/>
      <c r="H956" s="160"/>
      <c r="I956" s="160"/>
      <c r="J956" s="160"/>
      <c r="K956" s="160"/>
      <c r="L956" s="160"/>
      <c r="M956" s="160"/>
    </row>
    <row r="957" spans="2:13">
      <c r="B957" s="391"/>
      <c r="C957" s="160"/>
      <c r="D957" s="160"/>
      <c r="E957" s="160"/>
      <c r="F957" s="160"/>
      <c r="G957" s="160"/>
      <c r="H957" s="160"/>
      <c r="I957" s="160"/>
      <c r="J957" s="160"/>
      <c r="K957" s="160"/>
      <c r="L957" s="160"/>
      <c r="M957" s="160"/>
    </row>
    <row r="958" spans="2:13">
      <c r="B958" s="391"/>
      <c r="C958" s="160"/>
      <c r="D958" s="160"/>
      <c r="E958" s="160"/>
      <c r="F958" s="160"/>
      <c r="G958" s="160"/>
      <c r="H958" s="160"/>
      <c r="I958" s="160"/>
      <c r="J958" s="160"/>
      <c r="K958" s="160"/>
      <c r="L958" s="160"/>
      <c r="M958" s="160"/>
    </row>
    <row r="959" spans="2:13">
      <c r="B959" s="391"/>
      <c r="C959" s="160"/>
      <c r="D959" s="160"/>
      <c r="E959" s="160"/>
      <c r="F959" s="160"/>
      <c r="G959" s="160"/>
      <c r="H959" s="160"/>
      <c r="I959" s="160"/>
      <c r="J959" s="160"/>
      <c r="K959" s="160"/>
      <c r="L959" s="160"/>
      <c r="M959" s="160"/>
    </row>
    <row r="960" spans="2:13">
      <c r="B960" s="391"/>
      <c r="C960" s="160"/>
      <c r="D960" s="160"/>
      <c r="E960" s="160"/>
      <c r="F960" s="160"/>
      <c r="G960" s="160"/>
      <c r="H960" s="160"/>
      <c r="I960" s="160"/>
      <c r="J960" s="160"/>
      <c r="K960" s="160"/>
      <c r="L960" s="160"/>
      <c r="M960" s="160"/>
    </row>
    <row r="961" spans="2:13">
      <c r="B961" s="391"/>
      <c r="C961" s="160"/>
      <c r="D961" s="160"/>
      <c r="E961" s="160"/>
      <c r="F961" s="160"/>
      <c r="G961" s="160"/>
      <c r="H961" s="160"/>
      <c r="I961" s="160"/>
      <c r="J961" s="160"/>
      <c r="K961" s="160"/>
      <c r="L961" s="160"/>
      <c r="M961" s="160"/>
    </row>
    <row r="962" spans="2:13">
      <c r="B962" s="391"/>
      <c r="C962" s="160"/>
      <c r="D962" s="160"/>
      <c r="E962" s="160"/>
      <c r="F962" s="160"/>
      <c r="G962" s="160"/>
      <c r="H962" s="160"/>
      <c r="I962" s="160"/>
      <c r="J962" s="160"/>
      <c r="K962" s="160"/>
      <c r="L962" s="160"/>
      <c r="M962" s="160"/>
    </row>
    <row r="963" spans="2:13">
      <c r="B963" s="391"/>
      <c r="C963" s="160"/>
      <c r="D963" s="160"/>
      <c r="E963" s="160"/>
      <c r="F963" s="160"/>
      <c r="G963" s="160"/>
      <c r="H963" s="160"/>
      <c r="I963" s="160"/>
      <c r="J963" s="160"/>
      <c r="K963" s="160"/>
      <c r="L963" s="160"/>
      <c r="M963" s="160"/>
    </row>
    <row r="964" spans="2:13">
      <c r="B964" s="391"/>
      <c r="C964" s="160"/>
      <c r="D964" s="160"/>
      <c r="E964" s="160"/>
      <c r="F964" s="160"/>
      <c r="G964" s="160"/>
      <c r="H964" s="160"/>
      <c r="I964" s="160"/>
      <c r="J964" s="160"/>
      <c r="K964" s="160"/>
      <c r="L964" s="160"/>
      <c r="M964" s="160"/>
    </row>
    <row r="965" spans="2:13">
      <c r="B965" s="391"/>
      <c r="C965" s="160"/>
      <c r="D965" s="160"/>
      <c r="E965" s="160"/>
      <c r="F965" s="160"/>
      <c r="G965" s="160"/>
      <c r="H965" s="160"/>
      <c r="I965" s="160"/>
      <c r="J965" s="160"/>
      <c r="K965" s="160"/>
      <c r="L965" s="160"/>
      <c r="M965" s="160"/>
    </row>
    <row r="966" spans="2:13">
      <c r="B966" s="391"/>
      <c r="C966" s="160"/>
      <c r="D966" s="160"/>
      <c r="E966" s="160"/>
      <c r="F966" s="160"/>
      <c r="G966" s="160"/>
      <c r="H966" s="160"/>
      <c r="I966" s="160"/>
      <c r="J966" s="160"/>
      <c r="K966" s="160"/>
      <c r="L966" s="160"/>
      <c r="M966" s="160"/>
    </row>
    <row r="967" spans="2:13">
      <c r="B967" s="391"/>
      <c r="C967" s="160"/>
      <c r="D967" s="160"/>
      <c r="E967" s="160"/>
      <c r="F967" s="160"/>
      <c r="G967" s="160"/>
      <c r="H967" s="160"/>
      <c r="I967" s="160"/>
      <c r="J967" s="160"/>
      <c r="K967" s="160"/>
      <c r="L967" s="160"/>
      <c r="M967" s="160"/>
    </row>
    <row r="968" spans="2:13">
      <c r="B968" s="391"/>
      <c r="C968" s="160"/>
      <c r="D968" s="160"/>
      <c r="E968" s="160"/>
      <c r="F968" s="160"/>
      <c r="G968" s="160"/>
      <c r="H968" s="160"/>
      <c r="I968" s="160"/>
      <c r="J968" s="160"/>
      <c r="K968" s="160"/>
      <c r="L968" s="160"/>
      <c r="M968" s="160"/>
    </row>
    <row r="969" spans="2:13">
      <c r="B969" s="391"/>
      <c r="C969" s="160"/>
      <c r="D969" s="160"/>
      <c r="E969" s="160"/>
      <c r="F969" s="160"/>
      <c r="G969" s="160"/>
      <c r="H969" s="160"/>
      <c r="I969" s="160"/>
      <c r="J969" s="160"/>
      <c r="K969" s="160"/>
      <c r="L969" s="160"/>
      <c r="M969" s="160"/>
    </row>
    <row r="970" spans="2:13">
      <c r="B970" s="391"/>
      <c r="C970" s="160"/>
      <c r="D970" s="160"/>
      <c r="E970" s="160"/>
      <c r="F970" s="160"/>
      <c r="G970" s="160"/>
      <c r="H970" s="160"/>
      <c r="I970" s="160"/>
      <c r="J970" s="160"/>
      <c r="K970" s="160"/>
      <c r="L970" s="160"/>
      <c r="M970" s="160"/>
    </row>
    <row r="971" spans="2:13">
      <c r="B971" s="391"/>
      <c r="C971" s="160"/>
      <c r="D971" s="160"/>
      <c r="E971" s="160"/>
      <c r="F971" s="160"/>
      <c r="G971" s="160"/>
      <c r="H971" s="160"/>
      <c r="I971" s="160"/>
      <c r="J971" s="160"/>
      <c r="K971" s="160"/>
      <c r="L971" s="160"/>
      <c r="M971" s="160"/>
    </row>
    <row r="972" spans="2:13">
      <c r="B972" s="391"/>
      <c r="C972" s="160"/>
      <c r="D972" s="160"/>
      <c r="E972" s="160"/>
      <c r="F972" s="160"/>
      <c r="G972" s="160"/>
      <c r="H972" s="160"/>
      <c r="I972" s="160"/>
      <c r="J972" s="160"/>
      <c r="K972" s="160"/>
      <c r="L972" s="160"/>
      <c r="M972" s="160"/>
    </row>
    <row r="973" spans="2:13">
      <c r="B973" s="391"/>
      <c r="C973" s="160"/>
      <c r="D973" s="160"/>
      <c r="E973" s="160"/>
      <c r="F973" s="160"/>
      <c r="G973" s="160"/>
      <c r="H973" s="160"/>
      <c r="I973" s="160"/>
      <c r="J973" s="160"/>
      <c r="K973" s="160"/>
      <c r="L973" s="160"/>
      <c r="M973" s="160"/>
    </row>
    <row r="974" spans="2:13">
      <c r="B974" s="391"/>
      <c r="C974" s="160"/>
      <c r="D974" s="160"/>
      <c r="E974" s="160"/>
      <c r="F974" s="160"/>
      <c r="G974" s="160"/>
      <c r="H974" s="160"/>
      <c r="I974" s="160"/>
      <c r="J974" s="160"/>
      <c r="K974" s="160"/>
      <c r="L974" s="160"/>
      <c r="M974" s="160"/>
    </row>
    <row r="975" spans="2:13">
      <c r="B975" s="391"/>
      <c r="C975" s="160"/>
      <c r="D975" s="160"/>
      <c r="E975" s="160"/>
      <c r="F975" s="160"/>
      <c r="G975" s="160"/>
      <c r="H975" s="160"/>
      <c r="I975" s="160"/>
      <c r="J975" s="160"/>
      <c r="K975" s="160"/>
      <c r="L975" s="160"/>
      <c r="M975" s="160"/>
    </row>
    <row r="976" spans="2:13">
      <c r="B976" s="391"/>
      <c r="C976" s="160"/>
      <c r="D976" s="160"/>
      <c r="E976" s="160"/>
      <c r="F976" s="160"/>
      <c r="G976" s="160"/>
      <c r="H976" s="160"/>
      <c r="I976" s="160"/>
      <c r="J976" s="160"/>
      <c r="K976" s="160"/>
      <c r="L976" s="160"/>
      <c r="M976" s="160"/>
    </row>
    <row r="977" spans="2:13">
      <c r="B977" s="391"/>
      <c r="C977" s="160"/>
      <c r="D977" s="160"/>
      <c r="E977" s="160"/>
      <c r="F977" s="160"/>
      <c r="G977" s="160"/>
      <c r="H977" s="160"/>
      <c r="I977" s="160"/>
      <c r="J977" s="160"/>
      <c r="K977" s="160"/>
      <c r="L977" s="160"/>
      <c r="M977" s="160"/>
    </row>
    <row r="978" spans="2:13">
      <c r="B978" s="391"/>
      <c r="C978" s="160"/>
      <c r="D978" s="160"/>
      <c r="E978" s="160"/>
      <c r="F978" s="160"/>
      <c r="G978" s="160"/>
      <c r="H978" s="160"/>
      <c r="I978" s="160"/>
      <c r="J978" s="160"/>
      <c r="K978" s="160"/>
      <c r="L978" s="160"/>
      <c r="M978" s="160"/>
    </row>
    <row r="979" spans="2:13">
      <c r="B979" s="391"/>
      <c r="C979" s="160"/>
      <c r="D979" s="160"/>
      <c r="E979" s="160"/>
      <c r="F979" s="160"/>
      <c r="G979" s="160"/>
      <c r="H979" s="160"/>
      <c r="I979" s="160"/>
      <c r="J979" s="160"/>
      <c r="K979" s="160"/>
      <c r="L979" s="160"/>
      <c r="M979" s="160"/>
    </row>
    <row r="980" spans="2:13">
      <c r="B980" s="391"/>
      <c r="C980" s="160"/>
      <c r="D980" s="160"/>
      <c r="E980" s="160"/>
      <c r="F980" s="160"/>
      <c r="G980" s="160"/>
      <c r="H980" s="160"/>
      <c r="I980" s="160"/>
      <c r="J980" s="160"/>
      <c r="K980" s="160"/>
      <c r="L980" s="160"/>
      <c r="M980" s="160"/>
    </row>
    <row r="981" spans="2:13">
      <c r="B981" s="391"/>
      <c r="C981" s="160"/>
      <c r="D981" s="160"/>
      <c r="E981" s="160"/>
      <c r="F981" s="160"/>
      <c r="G981" s="160"/>
      <c r="H981" s="160"/>
      <c r="I981" s="160"/>
      <c r="J981" s="160"/>
      <c r="K981" s="160"/>
      <c r="L981" s="160"/>
      <c r="M981" s="160"/>
    </row>
    <row r="982" spans="2:13">
      <c r="B982" s="391"/>
      <c r="C982" s="160"/>
      <c r="D982" s="160"/>
      <c r="E982" s="160"/>
      <c r="F982" s="160"/>
      <c r="G982" s="160"/>
      <c r="H982" s="160"/>
      <c r="I982" s="160"/>
      <c r="J982" s="160"/>
      <c r="K982" s="160"/>
      <c r="L982" s="160"/>
      <c r="M982" s="160"/>
    </row>
    <row r="983" spans="2:13">
      <c r="B983" s="391"/>
      <c r="C983" s="160"/>
      <c r="D983" s="160"/>
      <c r="E983" s="160"/>
      <c r="F983" s="160"/>
      <c r="G983" s="160"/>
      <c r="H983" s="160"/>
      <c r="I983" s="160"/>
      <c r="J983" s="160"/>
      <c r="K983" s="160"/>
      <c r="L983" s="160"/>
      <c r="M983" s="160"/>
    </row>
    <row r="984" spans="2:13">
      <c r="B984" s="391"/>
      <c r="C984" s="160"/>
      <c r="D984" s="160"/>
      <c r="E984" s="160"/>
      <c r="F984" s="160"/>
      <c r="G984" s="160"/>
      <c r="H984" s="160"/>
      <c r="I984" s="160"/>
      <c r="J984" s="160"/>
      <c r="K984" s="160"/>
      <c r="L984" s="160"/>
      <c r="M984" s="160"/>
    </row>
    <row r="985" spans="2:13">
      <c r="B985" s="391"/>
      <c r="C985" s="160"/>
      <c r="D985" s="160"/>
      <c r="E985" s="160"/>
      <c r="F985" s="160"/>
      <c r="G985" s="160"/>
      <c r="H985" s="160"/>
      <c r="I985" s="160"/>
      <c r="J985" s="160"/>
      <c r="K985" s="160"/>
      <c r="L985" s="160"/>
      <c r="M985" s="160"/>
    </row>
    <row r="986" spans="2:13">
      <c r="B986" s="391"/>
      <c r="C986" s="160"/>
      <c r="D986" s="160"/>
      <c r="E986" s="160"/>
      <c r="F986" s="160"/>
      <c r="G986" s="160"/>
      <c r="H986" s="160"/>
      <c r="I986" s="160"/>
      <c r="J986" s="160"/>
      <c r="K986" s="160"/>
      <c r="L986" s="160"/>
      <c r="M986" s="160"/>
    </row>
    <row r="987" spans="2:13">
      <c r="B987" s="391"/>
      <c r="C987" s="160"/>
      <c r="D987" s="160"/>
      <c r="E987" s="160"/>
      <c r="F987" s="160"/>
      <c r="G987" s="160"/>
      <c r="H987" s="160"/>
      <c r="I987" s="160"/>
      <c r="J987" s="160"/>
      <c r="K987" s="160"/>
      <c r="L987" s="160"/>
      <c r="M987" s="160"/>
    </row>
    <row r="988" spans="2:13">
      <c r="B988" s="391"/>
      <c r="C988" s="160"/>
      <c r="D988" s="160"/>
      <c r="E988" s="160"/>
      <c r="F988" s="160"/>
      <c r="G988" s="160"/>
      <c r="H988" s="160"/>
      <c r="I988" s="160"/>
      <c r="J988" s="160"/>
      <c r="K988" s="160"/>
      <c r="L988" s="160"/>
      <c r="M988" s="160"/>
    </row>
    <row r="989" spans="2:13">
      <c r="B989" s="391"/>
      <c r="C989" s="160"/>
      <c r="D989" s="160"/>
      <c r="E989" s="160"/>
      <c r="F989" s="160"/>
      <c r="G989" s="160"/>
      <c r="H989" s="160"/>
      <c r="I989" s="160"/>
      <c r="J989" s="160"/>
      <c r="K989" s="160"/>
      <c r="L989" s="160"/>
      <c r="M989" s="160"/>
    </row>
    <row r="990" spans="2:13">
      <c r="B990" s="391"/>
      <c r="C990" s="160"/>
      <c r="D990" s="160"/>
      <c r="E990" s="160"/>
      <c r="F990" s="160"/>
      <c r="G990" s="160"/>
      <c r="H990" s="160"/>
      <c r="I990" s="160"/>
      <c r="J990" s="160"/>
      <c r="K990" s="160"/>
      <c r="L990" s="160"/>
      <c r="M990" s="160"/>
    </row>
    <row r="991" spans="2:13">
      <c r="B991" s="391"/>
      <c r="C991" s="160"/>
      <c r="D991" s="160"/>
      <c r="E991" s="160"/>
      <c r="F991" s="160"/>
      <c r="G991" s="160"/>
      <c r="H991" s="160"/>
      <c r="I991" s="160"/>
      <c r="J991" s="160"/>
      <c r="K991" s="160"/>
      <c r="L991" s="160"/>
      <c r="M991" s="160"/>
    </row>
    <row r="992" spans="2:13">
      <c r="B992" s="391"/>
      <c r="C992" s="160"/>
      <c r="D992" s="160"/>
      <c r="E992" s="160"/>
      <c r="F992" s="160"/>
      <c r="G992" s="160"/>
      <c r="H992" s="160"/>
      <c r="I992" s="160"/>
      <c r="J992" s="160"/>
      <c r="K992" s="160"/>
      <c r="L992" s="160"/>
      <c r="M992" s="160"/>
    </row>
    <row r="993" spans="2:13">
      <c r="B993" s="391"/>
      <c r="C993" s="160"/>
      <c r="D993" s="160"/>
      <c r="E993" s="160"/>
      <c r="F993" s="160"/>
      <c r="G993" s="160"/>
      <c r="H993" s="160"/>
      <c r="I993" s="160"/>
      <c r="J993" s="160"/>
      <c r="K993" s="160"/>
      <c r="L993" s="160"/>
      <c r="M993" s="160"/>
    </row>
    <row r="994" spans="2:13">
      <c r="B994" s="391"/>
      <c r="C994" s="160"/>
      <c r="D994" s="160"/>
      <c r="E994" s="160"/>
      <c r="F994" s="160"/>
      <c r="G994" s="160"/>
      <c r="H994" s="160"/>
      <c r="I994" s="160"/>
      <c r="J994" s="160"/>
      <c r="K994" s="160"/>
      <c r="L994" s="160"/>
      <c r="M994" s="160"/>
    </row>
    <row r="995" spans="2:13">
      <c r="B995" s="391"/>
      <c r="C995" s="160"/>
      <c r="D995" s="160"/>
      <c r="E995" s="160"/>
      <c r="F995" s="160"/>
      <c r="G995" s="160"/>
      <c r="H995" s="160"/>
      <c r="I995" s="160"/>
      <c r="J995" s="160"/>
      <c r="K995" s="160"/>
      <c r="L995" s="160"/>
      <c r="M995" s="160"/>
    </row>
    <row r="996" spans="2:13">
      <c r="B996" s="391"/>
      <c r="C996" s="160"/>
      <c r="D996" s="160"/>
      <c r="E996" s="160"/>
      <c r="F996" s="160"/>
      <c r="G996" s="160"/>
      <c r="H996" s="160"/>
      <c r="I996" s="160"/>
      <c r="J996" s="160"/>
      <c r="K996" s="160"/>
      <c r="L996" s="160"/>
      <c r="M996" s="160"/>
    </row>
    <row r="997" spans="2:13">
      <c r="B997" s="391"/>
      <c r="C997" s="160"/>
      <c r="D997" s="160"/>
      <c r="E997" s="160"/>
      <c r="F997" s="160"/>
      <c r="G997" s="160"/>
      <c r="H997" s="160"/>
      <c r="I997" s="160"/>
      <c r="J997" s="160"/>
      <c r="K997" s="160"/>
      <c r="L997" s="160"/>
      <c r="M997" s="160"/>
    </row>
    <row r="998" spans="2:13">
      <c r="B998" s="391"/>
      <c r="C998" s="160"/>
      <c r="D998" s="160"/>
      <c r="E998" s="160"/>
      <c r="F998" s="160"/>
      <c r="G998" s="160"/>
      <c r="H998" s="160"/>
      <c r="I998" s="160"/>
      <c r="J998" s="160"/>
      <c r="K998" s="160"/>
      <c r="L998" s="160"/>
      <c r="M998" s="160"/>
    </row>
    <row r="999" spans="2:13">
      <c r="B999" s="391"/>
      <c r="C999" s="160"/>
      <c r="D999" s="160"/>
      <c r="E999" s="160"/>
      <c r="F999" s="160"/>
      <c r="G999" s="160"/>
      <c r="H999" s="160"/>
      <c r="I999" s="160"/>
      <c r="J999" s="160"/>
      <c r="K999" s="160"/>
      <c r="L999" s="160"/>
      <c r="M999" s="160"/>
    </row>
    <row r="1000" spans="2:13">
      <c r="B1000" s="391"/>
      <c r="C1000" s="160"/>
      <c r="D1000" s="160"/>
      <c r="E1000" s="160"/>
      <c r="F1000" s="160"/>
      <c r="G1000" s="160"/>
      <c r="H1000" s="160"/>
      <c r="I1000" s="160"/>
      <c r="J1000" s="160"/>
      <c r="K1000" s="160"/>
      <c r="L1000" s="160"/>
      <c r="M1000" s="160"/>
    </row>
    <row r="1001" spans="2:13">
      <c r="B1001" s="391"/>
      <c r="C1001" s="160"/>
      <c r="D1001" s="160"/>
      <c r="E1001" s="160"/>
      <c r="F1001" s="160"/>
      <c r="G1001" s="160"/>
      <c r="H1001" s="160"/>
      <c r="I1001" s="160"/>
      <c r="J1001" s="160"/>
      <c r="K1001" s="160"/>
      <c r="L1001" s="160"/>
      <c r="M1001" s="160"/>
    </row>
    <row r="1002" spans="2:13">
      <c r="B1002" s="391"/>
      <c r="C1002" s="160"/>
      <c r="D1002" s="160"/>
      <c r="E1002" s="160"/>
      <c r="F1002" s="160"/>
      <c r="G1002" s="160"/>
      <c r="H1002" s="160"/>
      <c r="I1002" s="160"/>
      <c r="J1002" s="160"/>
      <c r="K1002" s="160"/>
      <c r="L1002" s="160"/>
      <c r="M1002" s="160"/>
    </row>
    <row r="1003" spans="2:13">
      <c r="B1003" s="391"/>
      <c r="C1003" s="160"/>
      <c r="D1003" s="160"/>
      <c r="E1003" s="160"/>
      <c r="F1003" s="160"/>
      <c r="G1003" s="160"/>
      <c r="H1003" s="160"/>
      <c r="I1003" s="160"/>
      <c r="J1003" s="160"/>
      <c r="K1003" s="160"/>
      <c r="L1003" s="160"/>
      <c r="M1003" s="160"/>
    </row>
    <row r="1004" spans="2:13">
      <c r="B1004" s="391"/>
      <c r="C1004" s="160"/>
      <c r="D1004" s="160"/>
      <c r="E1004" s="160"/>
      <c r="F1004" s="160"/>
      <c r="G1004" s="160"/>
      <c r="H1004" s="160"/>
      <c r="I1004" s="160"/>
      <c r="J1004" s="160"/>
      <c r="K1004" s="160"/>
      <c r="L1004" s="160"/>
      <c r="M1004" s="160"/>
    </row>
    <row r="1005" spans="2:13">
      <c r="B1005" s="391"/>
      <c r="C1005" s="160"/>
      <c r="D1005" s="160"/>
      <c r="E1005" s="160"/>
      <c r="F1005" s="160"/>
      <c r="G1005" s="160"/>
      <c r="H1005" s="160"/>
      <c r="I1005" s="160"/>
      <c r="J1005" s="160"/>
      <c r="K1005" s="160"/>
      <c r="L1005" s="160"/>
      <c r="M1005" s="160"/>
    </row>
    <row r="1006" spans="2:13">
      <c r="B1006" s="391"/>
      <c r="C1006" s="160"/>
      <c r="D1006" s="160"/>
      <c r="E1006" s="160"/>
      <c r="F1006" s="160"/>
      <c r="G1006" s="160"/>
      <c r="H1006" s="160"/>
      <c r="I1006" s="160"/>
      <c r="J1006" s="160"/>
      <c r="K1006" s="160"/>
      <c r="L1006" s="160"/>
      <c r="M1006" s="160"/>
    </row>
    <row r="1007" spans="2:13">
      <c r="B1007" s="391"/>
      <c r="C1007" s="160"/>
      <c r="D1007" s="160"/>
      <c r="E1007" s="160"/>
      <c r="F1007" s="160"/>
      <c r="G1007" s="160"/>
      <c r="H1007" s="160"/>
      <c r="I1007" s="160"/>
      <c r="J1007" s="160"/>
      <c r="K1007" s="160"/>
      <c r="L1007" s="160"/>
      <c r="M1007" s="160"/>
    </row>
    <row r="1008" spans="2:13">
      <c r="B1008" s="391"/>
      <c r="C1008" s="160"/>
      <c r="D1008" s="160"/>
      <c r="E1008" s="160"/>
      <c r="F1008" s="160"/>
      <c r="G1008" s="160"/>
      <c r="H1008" s="160"/>
      <c r="I1008" s="160"/>
      <c r="J1008" s="160"/>
      <c r="K1008" s="160"/>
      <c r="L1008" s="160"/>
      <c r="M1008" s="160"/>
    </row>
    <row r="1009" spans="2:13">
      <c r="B1009" s="391"/>
      <c r="C1009" s="160"/>
      <c r="D1009" s="160"/>
      <c r="E1009" s="160"/>
      <c r="F1009" s="160"/>
      <c r="G1009" s="160"/>
      <c r="H1009" s="160"/>
      <c r="I1009" s="160"/>
      <c r="J1009" s="160"/>
      <c r="K1009" s="160"/>
      <c r="L1009" s="160"/>
      <c r="M1009" s="160"/>
    </row>
    <row r="1010" spans="2:13">
      <c r="B1010" s="391"/>
      <c r="C1010" s="160"/>
      <c r="D1010" s="160"/>
      <c r="E1010" s="160"/>
      <c r="F1010" s="160"/>
      <c r="G1010" s="160"/>
      <c r="H1010" s="160"/>
      <c r="I1010" s="160"/>
      <c r="J1010" s="160"/>
      <c r="K1010" s="160"/>
      <c r="L1010" s="160"/>
      <c r="M1010" s="160"/>
    </row>
    <row r="1011" spans="2:13">
      <c r="B1011" s="391"/>
      <c r="C1011" s="160"/>
      <c r="D1011" s="160"/>
      <c r="E1011" s="160"/>
      <c r="F1011" s="160"/>
      <c r="G1011" s="160"/>
      <c r="H1011" s="160"/>
      <c r="I1011" s="160"/>
      <c r="J1011" s="160"/>
      <c r="K1011" s="160"/>
      <c r="L1011" s="160"/>
      <c r="M1011" s="160"/>
    </row>
    <row r="1012" spans="2:13">
      <c r="B1012" s="391"/>
      <c r="C1012" s="160"/>
      <c r="D1012" s="160"/>
      <c r="E1012" s="160"/>
      <c r="F1012" s="160"/>
      <c r="G1012" s="160"/>
      <c r="H1012" s="160"/>
      <c r="I1012" s="160"/>
      <c r="J1012" s="160"/>
      <c r="K1012" s="160"/>
      <c r="L1012" s="160"/>
      <c r="M1012" s="160"/>
    </row>
    <row r="1013" spans="2:13">
      <c r="B1013" s="391"/>
      <c r="C1013" s="160"/>
      <c r="D1013" s="160"/>
      <c r="E1013" s="160"/>
      <c r="F1013" s="160"/>
      <c r="G1013" s="160"/>
      <c r="H1013" s="160"/>
      <c r="I1013" s="160"/>
      <c r="J1013" s="160"/>
      <c r="K1013" s="160"/>
      <c r="L1013" s="160"/>
      <c r="M1013" s="160"/>
    </row>
    <row r="1014" spans="2:13">
      <c r="B1014" s="391"/>
      <c r="C1014" s="160"/>
      <c r="D1014" s="160"/>
      <c r="E1014" s="160"/>
      <c r="F1014" s="160"/>
      <c r="G1014" s="160"/>
      <c r="H1014" s="160"/>
      <c r="I1014" s="160"/>
      <c r="J1014" s="160"/>
      <c r="K1014" s="160"/>
      <c r="L1014" s="160"/>
      <c r="M1014" s="160"/>
    </row>
    <row r="1015" spans="2:13">
      <c r="B1015" s="391"/>
      <c r="C1015" s="160"/>
      <c r="D1015" s="160"/>
      <c r="E1015" s="160"/>
      <c r="F1015" s="160"/>
      <c r="G1015" s="160"/>
      <c r="H1015" s="160"/>
      <c r="I1015" s="160"/>
      <c r="J1015" s="160"/>
      <c r="K1015" s="160"/>
      <c r="L1015" s="160"/>
      <c r="M1015" s="160"/>
    </row>
    <row r="1016" spans="2:13">
      <c r="B1016" s="391"/>
      <c r="C1016" s="160"/>
      <c r="D1016" s="160"/>
      <c r="E1016" s="160"/>
      <c r="F1016" s="160"/>
      <c r="G1016" s="160"/>
      <c r="H1016" s="160"/>
      <c r="I1016" s="160"/>
      <c r="J1016" s="160"/>
      <c r="K1016" s="160"/>
      <c r="L1016" s="160"/>
      <c r="M1016" s="160"/>
    </row>
    <row r="1017" spans="2:13">
      <c r="B1017" s="391"/>
      <c r="C1017" s="160"/>
      <c r="D1017" s="160"/>
      <c r="E1017" s="160"/>
      <c r="F1017" s="160"/>
      <c r="G1017" s="160"/>
      <c r="H1017" s="160"/>
      <c r="I1017" s="160"/>
      <c r="J1017" s="160"/>
      <c r="K1017" s="160"/>
      <c r="L1017" s="160"/>
      <c r="M1017" s="160"/>
    </row>
    <row r="1018" spans="2:13">
      <c r="B1018" s="391"/>
      <c r="C1018" s="160"/>
      <c r="D1018" s="160"/>
      <c r="E1018" s="160"/>
      <c r="F1018" s="160"/>
      <c r="G1018" s="160"/>
      <c r="H1018" s="160"/>
      <c r="I1018" s="160"/>
      <c r="J1018" s="160"/>
      <c r="K1018" s="160"/>
      <c r="L1018" s="160"/>
      <c r="M1018" s="160"/>
    </row>
    <row r="1019" spans="2:13">
      <c r="B1019" s="391"/>
      <c r="C1019" s="160"/>
      <c r="D1019" s="160"/>
      <c r="E1019" s="160"/>
      <c r="F1019" s="160"/>
      <c r="G1019" s="160"/>
      <c r="H1019" s="160"/>
      <c r="I1019" s="160"/>
      <c r="J1019" s="160"/>
      <c r="K1019" s="160"/>
      <c r="L1019" s="160"/>
      <c r="M1019" s="160"/>
    </row>
    <row r="1020" spans="2:13">
      <c r="B1020" s="391"/>
      <c r="C1020" s="160"/>
      <c r="D1020" s="160"/>
      <c r="E1020" s="160"/>
      <c r="F1020" s="160"/>
      <c r="G1020" s="160"/>
      <c r="H1020" s="160"/>
      <c r="I1020" s="160"/>
      <c r="J1020" s="160"/>
      <c r="K1020" s="160"/>
      <c r="L1020" s="160"/>
      <c r="M1020" s="160"/>
    </row>
    <row r="1021" spans="2:13">
      <c r="B1021" s="391"/>
      <c r="C1021" s="160"/>
      <c r="D1021" s="160"/>
      <c r="E1021" s="160"/>
      <c r="F1021" s="160"/>
      <c r="G1021" s="160"/>
      <c r="H1021" s="160"/>
      <c r="I1021" s="160"/>
      <c r="J1021" s="160"/>
      <c r="K1021" s="160"/>
      <c r="L1021" s="160"/>
      <c r="M1021" s="160"/>
    </row>
    <row r="1022" spans="2:13">
      <c r="B1022" s="391"/>
      <c r="C1022" s="160"/>
      <c r="D1022" s="160"/>
      <c r="E1022" s="160"/>
      <c r="F1022" s="160"/>
      <c r="G1022" s="160"/>
      <c r="H1022" s="160"/>
      <c r="I1022" s="160"/>
      <c r="J1022" s="160"/>
      <c r="K1022" s="160"/>
      <c r="L1022" s="160"/>
      <c r="M1022" s="160"/>
    </row>
    <row r="1023" spans="2:13">
      <c r="B1023" s="391"/>
      <c r="C1023" s="160"/>
      <c r="D1023" s="160"/>
      <c r="E1023" s="160"/>
      <c r="F1023" s="160"/>
      <c r="G1023" s="160"/>
      <c r="H1023" s="160"/>
      <c r="I1023" s="160"/>
      <c r="J1023" s="160"/>
      <c r="K1023" s="160"/>
      <c r="L1023" s="160"/>
      <c r="M1023" s="160"/>
    </row>
    <row r="1024" spans="2:13">
      <c r="B1024" s="391"/>
      <c r="C1024" s="160"/>
      <c r="D1024" s="160"/>
      <c r="E1024" s="160"/>
      <c r="F1024" s="160"/>
      <c r="G1024" s="160"/>
      <c r="H1024" s="160"/>
      <c r="I1024" s="160"/>
      <c r="J1024" s="160"/>
      <c r="K1024" s="160"/>
      <c r="L1024" s="160"/>
      <c r="M1024" s="160"/>
    </row>
    <row r="1025" spans="2:13">
      <c r="B1025" s="391"/>
      <c r="C1025" s="160"/>
      <c r="D1025" s="160"/>
      <c r="E1025" s="160"/>
      <c r="F1025" s="160"/>
      <c r="G1025" s="160"/>
      <c r="H1025" s="160"/>
      <c r="I1025" s="160"/>
      <c r="J1025" s="160"/>
      <c r="K1025" s="160"/>
      <c r="L1025" s="160"/>
      <c r="M1025" s="160"/>
    </row>
    <row r="1026" spans="2:13">
      <c r="B1026" s="391"/>
      <c r="C1026" s="160"/>
      <c r="D1026" s="160"/>
      <c r="E1026" s="160"/>
      <c r="F1026" s="160"/>
      <c r="G1026" s="160"/>
      <c r="H1026" s="160"/>
      <c r="I1026" s="160"/>
      <c r="J1026" s="160"/>
      <c r="K1026" s="160"/>
      <c r="L1026" s="160"/>
      <c r="M1026" s="160"/>
    </row>
    <row r="1027" spans="2:13">
      <c r="B1027" s="391"/>
      <c r="C1027" s="160"/>
      <c r="D1027" s="160"/>
      <c r="E1027" s="160"/>
      <c r="F1027" s="160"/>
      <c r="G1027" s="160"/>
      <c r="H1027" s="160"/>
      <c r="I1027" s="160"/>
      <c r="J1027" s="160"/>
      <c r="K1027" s="160"/>
      <c r="L1027" s="160"/>
      <c r="M1027" s="160"/>
    </row>
    <row r="1028" spans="2:13">
      <c r="B1028" s="391"/>
      <c r="C1028" s="160"/>
      <c r="D1028" s="160"/>
      <c r="E1028" s="160"/>
      <c r="F1028" s="160"/>
      <c r="G1028" s="160"/>
      <c r="H1028" s="160"/>
      <c r="I1028" s="160"/>
      <c r="J1028" s="160"/>
      <c r="K1028" s="160"/>
      <c r="L1028" s="160"/>
      <c r="M1028" s="160"/>
    </row>
    <row r="1029" spans="2:13">
      <c r="B1029" s="391"/>
      <c r="C1029" s="160"/>
      <c r="D1029" s="160"/>
      <c r="E1029" s="160"/>
      <c r="F1029" s="160"/>
      <c r="G1029" s="160"/>
      <c r="H1029" s="160"/>
      <c r="I1029" s="160"/>
      <c r="J1029" s="160"/>
      <c r="K1029" s="160"/>
      <c r="L1029" s="160"/>
      <c r="M1029" s="160"/>
    </row>
    <row r="1030" spans="2:13">
      <c r="B1030" s="391"/>
      <c r="C1030" s="160"/>
      <c r="D1030" s="160"/>
      <c r="E1030" s="160"/>
      <c r="F1030" s="160"/>
      <c r="G1030" s="160"/>
      <c r="H1030" s="160"/>
      <c r="I1030" s="160"/>
      <c r="J1030" s="160"/>
      <c r="K1030" s="160"/>
      <c r="L1030" s="160"/>
      <c r="M1030" s="160"/>
    </row>
    <row r="1031" spans="2:13">
      <c r="B1031" s="391"/>
      <c r="C1031" s="160"/>
      <c r="D1031" s="160"/>
      <c r="E1031" s="160"/>
      <c r="F1031" s="160"/>
      <c r="G1031" s="160"/>
      <c r="H1031" s="160"/>
      <c r="I1031" s="160"/>
      <c r="J1031" s="160"/>
      <c r="K1031" s="160"/>
      <c r="L1031" s="160"/>
      <c r="M1031" s="160"/>
    </row>
    <row r="1032" spans="2:13">
      <c r="B1032" s="391"/>
      <c r="C1032" s="160"/>
      <c r="D1032" s="160"/>
      <c r="E1032" s="160"/>
      <c r="F1032" s="160"/>
      <c r="G1032" s="160"/>
      <c r="H1032" s="160"/>
      <c r="I1032" s="160"/>
      <c r="J1032" s="160"/>
      <c r="K1032" s="160"/>
      <c r="L1032" s="160"/>
      <c r="M1032" s="160"/>
    </row>
    <row r="1033" spans="2:13">
      <c r="B1033" s="391"/>
      <c r="C1033" s="160"/>
      <c r="D1033" s="160"/>
      <c r="E1033" s="160"/>
      <c r="F1033" s="160"/>
      <c r="G1033" s="160"/>
      <c r="H1033" s="160"/>
      <c r="I1033" s="160"/>
      <c r="J1033" s="160"/>
      <c r="K1033" s="160"/>
      <c r="L1033" s="160"/>
      <c r="M1033" s="160"/>
    </row>
    <row r="1034" spans="2:13">
      <c r="B1034" s="391"/>
      <c r="C1034" s="160"/>
      <c r="D1034" s="160"/>
      <c r="E1034" s="160"/>
      <c r="F1034" s="160"/>
      <c r="G1034" s="160"/>
      <c r="H1034" s="160"/>
      <c r="I1034" s="160"/>
      <c r="J1034" s="160"/>
      <c r="K1034" s="160"/>
      <c r="L1034" s="160"/>
      <c r="M1034" s="160"/>
    </row>
    <row r="1035" spans="2:13">
      <c r="B1035" s="391"/>
      <c r="C1035" s="160"/>
      <c r="D1035" s="160"/>
      <c r="E1035" s="160"/>
      <c r="F1035" s="160"/>
      <c r="G1035" s="160"/>
      <c r="H1035" s="160"/>
      <c r="I1035" s="160"/>
      <c r="J1035" s="160"/>
      <c r="K1035" s="160"/>
      <c r="L1035" s="160"/>
      <c r="M1035" s="160"/>
    </row>
    <row r="1036" spans="2:13">
      <c r="B1036" s="391"/>
      <c r="C1036" s="160"/>
      <c r="D1036" s="160"/>
      <c r="E1036" s="160"/>
      <c r="F1036" s="160"/>
      <c r="G1036" s="160"/>
      <c r="H1036" s="160"/>
      <c r="I1036" s="160"/>
      <c r="J1036" s="160"/>
      <c r="K1036" s="160"/>
      <c r="L1036" s="160"/>
      <c r="M1036" s="160"/>
    </row>
    <row r="1037" spans="2:13">
      <c r="B1037" s="391"/>
      <c r="C1037" s="160"/>
      <c r="D1037" s="160"/>
      <c r="E1037" s="160"/>
      <c r="F1037" s="160"/>
      <c r="G1037" s="160"/>
      <c r="H1037" s="160"/>
      <c r="I1037" s="160"/>
      <c r="J1037" s="160"/>
      <c r="K1037" s="160"/>
      <c r="L1037" s="160"/>
      <c r="M1037" s="160"/>
    </row>
    <row r="1038" spans="2:13">
      <c r="B1038" s="391"/>
      <c r="C1038" s="160"/>
      <c r="D1038" s="160"/>
      <c r="E1038" s="160"/>
      <c r="F1038" s="160"/>
      <c r="G1038" s="160"/>
      <c r="H1038" s="160"/>
      <c r="I1038" s="160"/>
      <c r="J1038" s="160"/>
      <c r="K1038" s="160"/>
      <c r="L1038" s="160"/>
      <c r="M1038" s="160"/>
    </row>
    <row r="1039" spans="2:13">
      <c r="B1039" s="391"/>
      <c r="C1039" s="160"/>
      <c r="D1039" s="160"/>
      <c r="E1039" s="160"/>
      <c r="F1039" s="160"/>
      <c r="G1039" s="160"/>
      <c r="H1039" s="160"/>
      <c r="I1039" s="160"/>
      <c r="J1039" s="160"/>
      <c r="K1039" s="160"/>
      <c r="L1039" s="160"/>
      <c r="M1039" s="160"/>
    </row>
    <row r="1040" spans="2:13">
      <c r="B1040" s="391"/>
      <c r="C1040" s="160"/>
      <c r="D1040" s="160"/>
      <c r="E1040" s="160"/>
      <c r="F1040" s="160"/>
      <c r="G1040" s="160"/>
      <c r="H1040" s="160"/>
      <c r="I1040" s="160"/>
      <c r="J1040" s="160"/>
      <c r="K1040" s="160"/>
      <c r="L1040" s="160"/>
      <c r="M1040" s="160"/>
    </row>
    <row r="1041" spans="2:13">
      <c r="B1041" s="391"/>
      <c r="C1041" s="160"/>
      <c r="D1041" s="160"/>
      <c r="E1041" s="160"/>
      <c r="F1041" s="160"/>
      <c r="G1041" s="160"/>
      <c r="H1041" s="160"/>
      <c r="I1041" s="160"/>
      <c r="J1041" s="160"/>
      <c r="K1041" s="160"/>
      <c r="L1041" s="160"/>
      <c r="M1041" s="160"/>
    </row>
    <row r="1042" spans="2:13">
      <c r="B1042" s="391"/>
      <c r="C1042" s="160"/>
      <c r="D1042" s="160"/>
      <c r="E1042" s="160"/>
      <c r="F1042" s="160"/>
      <c r="G1042" s="160"/>
      <c r="H1042" s="160"/>
      <c r="I1042" s="160"/>
      <c r="J1042" s="160"/>
      <c r="K1042" s="160"/>
      <c r="L1042" s="160"/>
      <c r="M1042" s="160"/>
    </row>
    <row r="1043" spans="2:13">
      <c r="B1043" s="391"/>
      <c r="C1043" s="160"/>
      <c r="D1043" s="160"/>
      <c r="E1043" s="160"/>
      <c r="F1043" s="160"/>
      <c r="G1043" s="160"/>
      <c r="H1043" s="160"/>
      <c r="I1043" s="160"/>
      <c r="J1043" s="160"/>
      <c r="K1043" s="160"/>
      <c r="L1043" s="160"/>
      <c r="M1043" s="160"/>
    </row>
    <row r="1044" spans="2:13">
      <c r="B1044" s="391"/>
      <c r="C1044" s="160"/>
      <c r="D1044" s="160"/>
      <c r="E1044" s="160"/>
      <c r="F1044" s="160"/>
      <c r="G1044" s="160"/>
      <c r="H1044" s="160"/>
      <c r="I1044" s="160"/>
      <c r="J1044" s="160"/>
      <c r="K1044" s="160"/>
      <c r="L1044" s="160"/>
      <c r="M1044" s="160"/>
    </row>
    <row r="1045" spans="2:13">
      <c r="B1045" s="391"/>
      <c r="C1045" s="160"/>
      <c r="D1045" s="160"/>
      <c r="E1045" s="160"/>
      <c r="F1045" s="160"/>
      <c r="G1045" s="160"/>
      <c r="H1045" s="160"/>
      <c r="I1045" s="160"/>
      <c r="J1045" s="160"/>
      <c r="K1045" s="160"/>
      <c r="L1045" s="160"/>
      <c r="M1045" s="160"/>
    </row>
    <row r="1046" spans="2:13">
      <c r="B1046" s="391"/>
      <c r="C1046" s="160"/>
      <c r="D1046" s="160"/>
      <c r="E1046" s="160"/>
      <c r="F1046" s="160"/>
      <c r="G1046" s="160"/>
      <c r="H1046" s="160"/>
      <c r="I1046" s="160"/>
      <c r="J1046" s="160"/>
      <c r="K1046" s="160"/>
      <c r="L1046" s="160"/>
      <c r="M1046" s="160"/>
    </row>
    <row r="1047" spans="2:13">
      <c r="B1047" s="391"/>
      <c r="C1047" s="160"/>
      <c r="D1047" s="160"/>
      <c r="E1047" s="160"/>
      <c r="F1047" s="160"/>
      <c r="G1047" s="160"/>
      <c r="H1047" s="160"/>
      <c r="I1047" s="160"/>
      <c r="J1047" s="160"/>
      <c r="K1047" s="160"/>
      <c r="L1047" s="160"/>
      <c r="M1047" s="160"/>
    </row>
    <row r="1048" spans="2:13">
      <c r="B1048" s="391"/>
      <c r="C1048" s="160"/>
      <c r="D1048" s="160"/>
      <c r="E1048" s="160"/>
      <c r="F1048" s="160"/>
      <c r="G1048" s="160"/>
      <c r="H1048" s="160"/>
      <c r="I1048" s="160"/>
      <c r="J1048" s="160"/>
      <c r="K1048" s="160"/>
      <c r="L1048" s="160"/>
      <c r="M1048" s="160"/>
    </row>
    <row r="1049" spans="2:13">
      <c r="B1049" s="391"/>
      <c r="C1049" s="160"/>
      <c r="D1049" s="160"/>
      <c r="E1049" s="160"/>
      <c r="F1049" s="160"/>
      <c r="G1049" s="160"/>
      <c r="H1049" s="160"/>
      <c r="I1049" s="160"/>
      <c r="J1049" s="160"/>
      <c r="K1049" s="160"/>
      <c r="L1049" s="160"/>
      <c r="M1049" s="160"/>
    </row>
    <row r="1050" spans="2:13">
      <c r="B1050" s="391"/>
      <c r="C1050" s="160"/>
      <c r="D1050" s="160"/>
      <c r="E1050" s="160"/>
      <c r="F1050" s="160"/>
      <c r="G1050" s="160"/>
      <c r="H1050" s="160"/>
      <c r="I1050" s="160"/>
      <c r="J1050" s="160"/>
      <c r="K1050" s="160"/>
      <c r="L1050" s="160"/>
      <c r="M1050" s="160"/>
    </row>
    <row r="1051" spans="2:13">
      <c r="B1051" s="391"/>
      <c r="C1051" s="160"/>
      <c r="D1051" s="160"/>
      <c r="E1051" s="160"/>
      <c r="F1051" s="160"/>
      <c r="G1051" s="160"/>
      <c r="H1051" s="160"/>
      <c r="I1051" s="160"/>
      <c r="J1051" s="160"/>
      <c r="K1051" s="160"/>
      <c r="L1051" s="160"/>
      <c r="M1051" s="160"/>
    </row>
    <row r="1052" spans="2:13">
      <c r="B1052" s="391"/>
      <c r="C1052" s="160"/>
      <c r="D1052" s="160"/>
      <c r="E1052" s="160"/>
      <c r="F1052" s="160"/>
      <c r="G1052" s="160"/>
      <c r="H1052" s="160"/>
      <c r="I1052" s="160"/>
      <c r="J1052" s="160"/>
      <c r="K1052" s="160"/>
      <c r="L1052" s="160"/>
      <c r="M1052" s="160"/>
    </row>
    <row r="1053" spans="2:13">
      <c r="B1053" s="391"/>
      <c r="C1053" s="160"/>
      <c r="D1053" s="160"/>
      <c r="E1053" s="160"/>
      <c r="F1053" s="160"/>
      <c r="G1053" s="160"/>
      <c r="H1053" s="160"/>
      <c r="I1053" s="160"/>
      <c r="J1053" s="160"/>
      <c r="K1053" s="160"/>
      <c r="L1053" s="160"/>
      <c r="M1053" s="160"/>
    </row>
    <row r="1054" spans="2:13">
      <c r="B1054" s="391"/>
      <c r="C1054" s="160"/>
      <c r="D1054" s="160"/>
      <c r="E1054" s="160"/>
      <c r="F1054" s="160"/>
      <c r="G1054" s="160"/>
      <c r="H1054" s="160"/>
      <c r="I1054" s="160"/>
      <c r="J1054" s="160"/>
      <c r="K1054" s="160"/>
      <c r="L1054" s="160"/>
      <c r="M1054" s="160"/>
    </row>
    <row r="1055" spans="2:13">
      <c r="B1055" s="391"/>
      <c r="C1055" s="160"/>
      <c r="D1055" s="160"/>
      <c r="E1055" s="160"/>
      <c r="F1055" s="160"/>
      <c r="G1055" s="160"/>
      <c r="H1055" s="160"/>
      <c r="I1055" s="160"/>
      <c r="J1055" s="160"/>
      <c r="K1055" s="160"/>
      <c r="L1055" s="160"/>
      <c r="M1055" s="160"/>
    </row>
    <row r="1056" spans="2:13">
      <c r="B1056" s="391"/>
      <c r="C1056" s="160"/>
      <c r="D1056" s="160"/>
      <c r="E1056" s="160"/>
      <c r="F1056" s="160"/>
      <c r="G1056" s="160"/>
      <c r="H1056" s="160"/>
      <c r="I1056" s="160"/>
      <c r="J1056" s="160"/>
      <c r="K1056" s="160"/>
      <c r="L1056" s="160"/>
      <c r="M1056" s="160"/>
    </row>
    <row r="1057" spans="2:13">
      <c r="B1057" s="391"/>
      <c r="C1057" s="160"/>
      <c r="D1057" s="160"/>
      <c r="E1057" s="160"/>
      <c r="F1057" s="160"/>
      <c r="G1057" s="160"/>
      <c r="H1057" s="160"/>
      <c r="I1057" s="160"/>
      <c r="J1057" s="160"/>
      <c r="K1057" s="160"/>
      <c r="L1057" s="160"/>
      <c r="M1057" s="160"/>
    </row>
    <row r="1058" spans="2:13">
      <c r="B1058" s="391"/>
      <c r="C1058" s="160"/>
      <c r="D1058" s="160"/>
      <c r="E1058" s="160"/>
      <c r="F1058" s="160"/>
      <c r="G1058" s="160"/>
      <c r="H1058" s="160"/>
      <c r="I1058" s="160"/>
      <c r="J1058" s="160"/>
      <c r="K1058" s="160"/>
      <c r="L1058" s="160"/>
      <c r="M1058" s="160"/>
    </row>
    <row r="1059" spans="2:13">
      <c r="B1059" s="391"/>
      <c r="C1059" s="160"/>
      <c r="D1059" s="160"/>
      <c r="E1059" s="160"/>
      <c r="F1059" s="160"/>
      <c r="G1059" s="160"/>
      <c r="H1059" s="160"/>
      <c r="I1059" s="160"/>
      <c r="J1059" s="160"/>
      <c r="K1059" s="160"/>
      <c r="L1059" s="160"/>
      <c r="M1059" s="160"/>
    </row>
    <row r="1060" spans="2:13">
      <c r="B1060" s="391"/>
      <c r="C1060" s="160"/>
      <c r="D1060" s="160"/>
      <c r="E1060" s="160"/>
      <c r="F1060" s="160"/>
      <c r="G1060" s="160"/>
      <c r="H1060" s="160"/>
      <c r="I1060" s="160"/>
      <c r="J1060" s="160"/>
      <c r="K1060" s="160"/>
      <c r="L1060" s="160"/>
      <c r="M1060" s="160"/>
    </row>
    <row r="1061" spans="2:13">
      <c r="B1061" s="391"/>
      <c r="C1061" s="160"/>
      <c r="D1061" s="160"/>
      <c r="E1061" s="160"/>
      <c r="F1061" s="160"/>
      <c r="G1061" s="160"/>
      <c r="H1061" s="160"/>
      <c r="I1061" s="160"/>
      <c r="J1061" s="160"/>
      <c r="K1061" s="160"/>
      <c r="L1061" s="160"/>
      <c r="M1061" s="160"/>
    </row>
    <row r="1062" spans="2:13">
      <c r="B1062" s="391"/>
      <c r="C1062" s="160"/>
      <c r="D1062" s="160"/>
      <c r="E1062" s="160"/>
      <c r="F1062" s="160"/>
      <c r="G1062" s="160"/>
      <c r="H1062" s="160"/>
      <c r="I1062" s="160"/>
      <c r="J1062" s="160"/>
      <c r="K1062" s="160"/>
      <c r="L1062" s="160"/>
      <c r="M1062" s="160"/>
    </row>
    <row r="1063" spans="2:13">
      <c r="B1063" s="391"/>
      <c r="C1063" s="160"/>
      <c r="D1063" s="160"/>
      <c r="E1063" s="160"/>
      <c r="F1063" s="160"/>
      <c r="G1063" s="160"/>
      <c r="H1063" s="160"/>
      <c r="I1063" s="160"/>
      <c r="J1063" s="160"/>
      <c r="K1063" s="160"/>
      <c r="L1063" s="160"/>
      <c r="M1063" s="160"/>
    </row>
    <row r="1064" spans="2:13">
      <c r="B1064" s="391"/>
      <c r="C1064" s="160"/>
      <c r="D1064" s="160"/>
      <c r="E1064" s="160"/>
      <c r="F1064" s="160"/>
      <c r="G1064" s="160"/>
      <c r="H1064" s="160"/>
      <c r="I1064" s="160"/>
      <c r="J1064" s="160"/>
      <c r="K1064" s="160"/>
      <c r="L1064" s="160"/>
      <c r="M1064" s="160"/>
    </row>
    <row r="1065" spans="2:13">
      <c r="B1065" s="391"/>
      <c r="C1065" s="160"/>
      <c r="D1065" s="160"/>
      <c r="E1065" s="160"/>
      <c r="F1065" s="160"/>
      <c r="G1065" s="160"/>
      <c r="H1065" s="160"/>
      <c r="I1065" s="160"/>
      <c r="J1065" s="160"/>
      <c r="K1065" s="160"/>
      <c r="L1065" s="160"/>
      <c r="M1065" s="160"/>
    </row>
    <row r="1066" spans="2:13">
      <c r="B1066" s="391"/>
      <c r="C1066" s="160"/>
      <c r="D1066" s="160"/>
      <c r="E1066" s="160"/>
      <c r="F1066" s="160"/>
      <c r="G1066" s="160"/>
      <c r="H1066" s="160"/>
      <c r="I1066" s="160"/>
      <c r="J1066" s="160"/>
      <c r="K1066" s="160"/>
      <c r="L1066" s="160"/>
      <c r="M1066" s="160"/>
    </row>
    <row r="1067" spans="2:13">
      <c r="B1067" s="391"/>
      <c r="C1067" s="160"/>
      <c r="D1067" s="160"/>
      <c r="E1067" s="160"/>
      <c r="F1067" s="160"/>
      <c r="G1067" s="160"/>
      <c r="H1067" s="160"/>
      <c r="I1067" s="160"/>
      <c r="J1067" s="160"/>
      <c r="K1067" s="160"/>
      <c r="L1067" s="160"/>
      <c r="M1067" s="160"/>
    </row>
    <row r="1068" spans="2:13">
      <c r="B1068" s="391"/>
      <c r="C1068" s="160"/>
      <c r="D1068" s="160"/>
      <c r="E1068" s="160"/>
      <c r="F1068" s="160"/>
      <c r="G1068" s="160"/>
      <c r="H1068" s="160"/>
      <c r="I1068" s="160"/>
      <c r="J1068" s="160"/>
      <c r="K1068" s="160"/>
      <c r="L1068" s="160"/>
      <c r="M1068" s="160"/>
    </row>
    <row r="1069" spans="2:13">
      <c r="B1069" s="391"/>
      <c r="C1069" s="160"/>
      <c r="D1069" s="160"/>
      <c r="E1069" s="160"/>
      <c r="F1069" s="160"/>
      <c r="G1069" s="160"/>
      <c r="H1069" s="160"/>
      <c r="I1069" s="160"/>
      <c r="J1069" s="160"/>
      <c r="K1069" s="160"/>
      <c r="L1069" s="160"/>
      <c r="M1069" s="160"/>
    </row>
    <row r="1070" spans="2:13">
      <c r="B1070" s="391"/>
      <c r="C1070" s="160"/>
      <c r="D1070" s="160"/>
      <c r="E1070" s="160"/>
      <c r="F1070" s="160"/>
      <c r="G1070" s="160"/>
      <c r="H1070" s="160"/>
      <c r="I1070" s="160"/>
      <c r="J1070" s="160"/>
      <c r="K1070" s="160"/>
      <c r="L1070" s="160"/>
      <c r="M1070" s="160"/>
    </row>
    <row r="1071" spans="2:13">
      <c r="B1071" s="391"/>
      <c r="C1071" s="160"/>
      <c r="D1071" s="160"/>
      <c r="E1071" s="160"/>
      <c r="F1071" s="160"/>
      <c r="G1071" s="160"/>
      <c r="H1071" s="160"/>
      <c r="I1071" s="160"/>
      <c r="J1071" s="160"/>
      <c r="K1071" s="160"/>
      <c r="L1071" s="160"/>
      <c r="M1071" s="160"/>
    </row>
    <row r="1072" spans="2:13">
      <c r="B1072" s="391"/>
      <c r="C1072" s="160"/>
      <c r="D1072" s="160"/>
      <c r="E1072" s="160"/>
      <c r="F1072" s="160"/>
      <c r="G1072" s="160"/>
      <c r="H1072" s="160"/>
      <c r="I1072" s="160"/>
      <c r="J1072" s="160"/>
      <c r="K1072" s="160"/>
      <c r="L1072" s="160"/>
      <c r="M1072" s="160"/>
    </row>
    <row r="1073" spans="2:13">
      <c r="B1073" s="391"/>
      <c r="C1073" s="160"/>
      <c r="D1073" s="160"/>
      <c r="E1073" s="160"/>
      <c r="F1073" s="160"/>
      <c r="G1073" s="160"/>
      <c r="H1073" s="160"/>
      <c r="I1073" s="160"/>
      <c r="J1073" s="160"/>
      <c r="K1073" s="160"/>
      <c r="L1073" s="160"/>
      <c r="M1073" s="160"/>
    </row>
    <row r="1074" spans="2:13">
      <c r="B1074" s="391"/>
      <c r="C1074" s="160"/>
      <c r="D1074" s="160"/>
      <c r="E1074" s="160"/>
      <c r="F1074" s="160"/>
      <c r="G1074" s="160"/>
      <c r="H1074" s="160"/>
      <c r="I1074" s="160"/>
      <c r="J1074" s="160"/>
      <c r="K1074" s="160"/>
      <c r="L1074" s="160"/>
      <c r="M1074" s="160"/>
    </row>
    <row r="1075" spans="2:13">
      <c r="B1075" s="391"/>
      <c r="C1075" s="160"/>
      <c r="D1075" s="160"/>
      <c r="E1075" s="160"/>
      <c r="F1075" s="160"/>
      <c r="G1075" s="160"/>
      <c r="H1075" s="160"/>
      <c r="I1075" s="160"/>
      <c r="J1075" s="160"/>
      <c r="K1075" s="160"/>
      <c r="L1075" s="160"/>
      <c r="M1075" s="160"/>
    </row>
    <row r="1076" spans="2:13">
      <c r="B1076" s="391"/>
      <c r="C1076" s="160"/>
      <c r="D1076" s="160"/>
      <c r="E1076" s="160"/>
      <c r="F1076" s="160"/>
      <c r="G1076" s="160"/>
      <c r="H1076" s="160"/>
      <c r="I1076" s="160"/>
      <c r="J1076" s="160"/>
      <c r="K1076" s="160"/>
      <c r="L1076" s="160"/>
      <c r="M1076" s="160"/>
    </row>
    <row r="1077" spans="2:13">
      <c r="B1077" s="391"/>
      <c r="C1077" s="160"/>
      <c r="D1077" s="160"/>
      <c r="E1077" s="160"/>
      <c r="F1077" s="160"/>
      <c r="G1077" s="160"/>
      <c r="H1077" s="160"/>
      <c r="I1077" s="160"/>
      <c r="J1077" s="160"/>
      <c r="K1077" s="160"/>
      <c r="L1077" s="160"/>
      <c r="M1077" s="160"/>
    </row>
    <row r="1078" spans="2:13">
      <c r="B1078" s="391"/>
      <c r="C1078" s="160"/>
      <c r="D1078" s="160"/>
      <c r="E1078" s="160"/>
      <c r="F1078" s="160"/>
      <c r="G1078" s="160"/>
      <c r="H1078" s="160"/>
      <c r="I1078" s="160"/>
      <c r="J1078" s="160"/>
      <c r="K1078" s="160"/>
      <c r="L1078" s="160"/>
      <c r="M1078" s="160"/>
    </row>
    <row r="1079" spans="2:13">
      <c r="B1079" s="391"/>
      <c r="C1079" s="160"/>
      <c r="D1079" s="160"/>
      <c r="E1079" s="160"/>
      <c r="F1079" s="160"/>
      <c r="G1079" s="160"/>
      <c r="H1079" s="160"/>
      <c r="I1079" s="160"/>
      <c r="J1079" s="160"/>
      <c r="K1079" s="160"/>
      <c r="L1079" s="160"/>
      <c r="M1079" s="160"/>
    </row>
    <row r="1080" spans="2:13">
      <c r="B1080" s="391"/>
      <c r="C1080" s="160"/>
      <c r="D1080" s="160"/>
      <c r="E1080" s="160"/>
      <c r="F1080" s="160"/>
      <c r="G1080" s="160"/>
      <c r="H1080" s="160"/>
      <c r="I1080" s="160"/>
      <c r="J1080" s="160"/>
      <c r="K1080" s="160"/>
      <c r="L1080" s="160"/>
      <c r="M1080" s="160"/>
    </row>
    <row r="1081" spans="2:13">
      <c r="B1081" s="391"/>
      <c r="C1081" s="160"/>
      <c r="D1081" s="160"/>
      <c r="E1081" s="160"/>
      <c r="F1081" s="160"/>
      <c r="G1081" s="160"/>
      <c r="H1081" s="160"/>
      <c r="I1081" s="160"/>
      <c r="J1081" s="160"/>
      <c r="K1081" s="160"/>
      <c r="L1081" s="160"/>
      <c r="M1081" s="160"/>
    </row>
    <row r="1082" spans="2:13">
      <c r="B1082" s="391"/>
      <c r="C1082" s="160"/>
      <c r="D1082" s="160"/>
      <c r="E1082" s="160"/>
      <c r="F1082" s="160"/>
      <c r="G1082" s="160"/>
      <c r="H1082" s="160"/>
      <c r="I1082" s="160"/>
      <c r="J1082" s="160"/>
      <c r="K1082" s="160"/>
      <c r="L1082" s="160"/>
      <c r="M1082" s="160"/>
    </row>
    <row r="1083" spans="2:13">
      <c r="B1083" s="391"/>
      <c r="C1083" s="160"/>
      <c r="D1083" s="160"/>
      <c r="E1083" s="160"/>
      <c r="F1083" s="160"/>
      <c r="G1083" s="160"/>
      <c r="H1083" s="160"/>
      <c r="I1083" s="160"/>
      <c r="J1083" s="160"/>
      <c r="K1083" s="160"/>
      <c r="L1083" s="160"/>
      <c r="M1083" s="160"/>
    </row>
    <row r="1084" spans="2:13">
      <c r="B1084" s="391"/>
      <c r="C1084" s="160"/>
      <c r="D1084" s="160"/>
      <c r="E1084" s="160"/>
      <c r="F1084" s="160"/>
      <c r="G1084" s="160"/>
      <c r="H1084" s="160"/>
      <c r="I1084" s="160"/>
      <c r="J1084" s="160"/>
      <c r="K1084" s="160"/>
      <c r="L1084" s="160"/>
      <c r="M1084" s="160"/>
    </row>
    <row r="1085" spans="2:13">
      <c r="B1085" s="391"/>
      <c r="C1085" s="160"/>
      <c r="D1085" s="160"/>
      <c r="E1085" s="160"/>
      <c r="F1085" s="160"/>
      <c r="G1085" s="160"/>
      <c r="H1085" s="160"/>
      <c r="I1085" s="160"/>
      <c r="J1085" s="160"/>
      <c r="K1085" s="160"/>
      <c r="L1085" s="160"/>
      <c r="M1085" s="160"/>
    </row>
    <row r="1086" spans="2:13">
      <c r="B1086" s="391"/>
      <c r="C1086" s="160"/>
      <c r="D1086" s="160"/>
      <c r="E1086" s="160"/>
      <c r="F1086" s="160"/>
      <c r="G1086" s="160"/>
      <c r="H1086" s="160"/>
      <c r="I1086" s="160"/>
      <c r="J1086" s="160"/>
      <c r="K1086" s="160"/>
      <c r="L1086" s="160"/>
      <c r="M1086" s="160"/>
    </row>
    <row r="1087" spans="2:13">
      <c r="B1087" s="391"/>
      <c r="C1087" s="160"/>
      <c r="D1087" s="160"/>
      <c r="E1087" s="160"/>
      <c r="F1087" s="160"/>
      <c r="G1087" s="160"/>
      <c r="H1087" s="160"/>
      <c r="I1087" s="160"/>
      <c r="J1087" s="160"/>
      <c r="K1087" s="160"/>
      <c r="L1087" s="160"/>
      <c r="M1087" s="160"/>
    </row>
    <row r="1088" spans="2:13">
      <c r="B1088" s="391"/>
      <c r="C1088" s="160"/>
      <c r="D1088" s="160"/>
      <c r="E1088" s="160"/>
      <c r="F1088" s="160"/>
      <c r="G1088" s="160"/>
      <c r="H1088" s="160"/>
      <c r="I1088" s="160"/>
      <c r="J1088" s="160"/>
      <c r="K1088" s="160"/>
      <c r="L1088" s="160"/>
      <c r="M1088" s="160"/>
    </row>
    <row r="1089" spans="2:13">
      <c r="B1089" s="391"/>
      <c r="C1089" s="160"/>
      <c r="D1089" s="160"/>
      <c r="E1089" s="160"/>
      <c r="F1089" s="160"/>
      <c r="G1089" s="160"/>
      <c r="H1089" s="160"/>
      <c r="I1089" s="160"/>
      <c r="J1089" s="160"/>
      <c r="K1089" s="160"/>
      <c r="L1089" s="160"/>
      <c r="M1089" s="160"/>
    </row>
    <row r="1090" spans="2:13">
      <c r="B1090" s="391"/>
      <c r="C1090" s="160"/>
      <c r="D1090" s="160"/>
      <c r="E1090" s="160"/>
      <c r="F1090" s="160"/>
      <c r="G1090" s="160"/>
      <c r="H1090" s="160"/>
      <c r="I1090" s="160"/>
      <c r="J1090" s="160"/>
      <c r="K1090" s="160"/>
      <c r="L1090" s="160"/>
      <c r="M1090" s="160"/>
    </row>
    <row r="1091" spans="2:13">
      <c r="B1091" s="391"/>
      <c r="C1091" s="160"/>
      <c r="D1091" s="160"/>
      <c r="E1091" s="160"/>
      <c r="F1091" s="160"/>
      <c r="G1091" s="160"/>
      <c r="H1091" s="160"/>
      <c r="I1091" s="160"/>
      <c r="J1091" s="160"/>
      <c r="K1091" s="160"/>
      <c r="L1091" s="160"/>
      <c r="M1091" s="160"/>
    </row>
    <row r="1092" spans="2:13">
      <c r="B1092" s="391"/>
      <c r="C1092" s="160"/>
      <c r="D1092" s="160"/>
      <c r="E1092" s="160"/>
      <c r="F1092" s="160"/>
      <c r="G1092" s="160"/>
      <c r="H1092" s="160"/>
      <c r="I1092" s="160"/>
      <c r="J1092" s="160"/>
      <c r="K1092" s="160"/>
      <c r="L1092" s="160"/>
      <c r="M1092" s="160"/>
    </row>
    <row r="1093" spans="2:13">
      <c r="B1093" s="391"/>
      <c r="C1093" s="160"/>
      <c r="D1093" s="160"/>
      <c r="E1093" s="160"/>
      <c r="F1093" s="160"/>
      <c r="G1093" s="160"/>
      <c r="H1093" s="160"/>
      <c r="I1093" s="160"/>
      <c r="J1093" s="160"/>
      <c r="K1093" s="160"/>
      <c r="L1093" s="160"/>
      <c r="M1093" s="160"/>
    </row>
    <row r="1094" spans="2:13">
      <c r="B1094" s="391"/>
      <c r="C1094" s="160"/>
      <c r="D1094" s="160"/>
      <c r="E1094" s="160"/>
      <c r="F1094" s="160"/>
      <c r="G1094" s="160"/>
      <c r="H1094" s="160"/>
      <c r="I1094" s="160"/>
      <c r="J1094" s="160"/>
      <c r="K1094" s="160"/>
      <c r="L1094" s="160"/>
      <c r="M1094" s="160"/>
    </row>
    <row r="1095" spans="2:13">
      <c r="B1095" s="391"/>
      <c r="C1095" s="160"/>
      <c r="D1095" s="160"/>
      <c r="E1095" s="160"/>
      <c r="F1095" s="160"/>
      <c r="G1095" s="160"/>
      <c r="H1095" s="160"/>
      <c r="I1095" s="160"/>
      <c r="J1095" s="160"/>
      <c r="K1095" s="160"/>
      <c r="L1095" s="160"/>
      <c r="M1095" s="160"/>
    </row>
    <row r="1096" spans="2:13">
      <c r="B1096" s="391"/>
      <c r="C1096" s="160"/>
      <c r="D1096" s="160"/>
      <c r="E1096" s="160"/>
      <c r="F1096" s="160"/>
      <c r="G1096" s="160"/>
      <c r="H1096" s="160"/>
      <c r="I1096" s="160"/>
      <c r="J1096" s="160"/>
      <c r="K1096" s="160"/>
      <c r="L1096" s="160"/>
      <c r="M1096" s="160"/>
    </row>
    <row r="1097" spans="2:13">
      <c r="B1097" s="391"/>
      <c r="C1097" s="160"/>
      <c r="D1097" s="160"/>
      <c r="E1097" s="160"/>
      <c r="F1097" s="160"/>
      <c r="G1097" s="160"/>
      <c r="H1097" s="160"/>
      <c r="I1097" s="160"/>
      <c r="J1097" s="160"/>
      <c r="K1097" s="160"/>
      <c r="L1097" s="160"/>
      <c r="M1097" s="160"/>
    </row>
    <row r="1098" spans="2:13">
      <c r="B1098" s="391"/>
      <c r="C1098" s="160"/>
      <c r="D1098" s="160"/>
      <c r="E1098" s="160"/>
      <c r="F1098" s="160"/>
      <c r="G1098" s="160"/>
      <c r="H1098" s="160"/>
      <c r="I1098" s="160"/>
      <c r="J1098" s="160"/>
      <c r="K1098" s="160"/>
      <c r="L1098" s="160"/>
      <c r="M1098" s="160"/>
    </row>
    <row r="1099" spans="2:13">
      <c r="B1099" s="391"/>
      <c r="C1099" s="160"/>
      <c r="D1099" s="160"/>
      <c r="E1099" s="160"/>
      <c r="F1099" s="160"/>
      <c r="G1099" s="160"/>
      <c r="H1099" s="160"/>
      <c r="I1099" s="160"/>
      <c r="J1099" s="160"/>
      <c r="K1099" s="160"/>
      <c r="L1099" s="160"/>
      <c r="M1099" s="160"/>
    </row>
    <row r="1100" spans="2:13">
      <c r="B1100" s="391"/>
      <c r="C1100" s="160"/>
      <c r="D1100" s="160"/>
      <c r="E1100" s="160"/>
      <c r="F1100" s="160"/>
      <c r="G1100" s="160"/>
      <c r="H1100" s="160"/>
      <c r="I1100" s="160"/>
      <c r="J1100" s="160"/>
      <c r="K1100" s="160"/>
      <c r="L1100" s="160"/>
      <c r="M1100" s="160"/>
    </row>
    <row r="1101" spans="2:13">
      <c r="B1101" s="391"/>
      <c r="C1101" s="160"/>
      <c r="D1101" s="160"/>
      <c r="E1101" s="160"/>
      <c r="F1101" s="160"/>
      <c r="G1101" s="160"/>
      <c r="H1101" s="160"/>
      <c r="I1101" s="160"/>
      <c r="J1101" s="160"/>
      <c r="K1101" s="160"/>
      <c r="L1101" s="160"/>
      <c r="M1101" s="160"/>
    </row>
    <row r="1102" spans="2:13">
      <c r="B1102" s="391"/>
      <c r="C1102" s="160"/>
      <c r="D1102" s="160"/>
      <c r="E1102" s="160"/>
      <c r="F1102" s="160"/>
      <c r="G1102" s="160"/>
      <c r="H1102" s="160"/>
      <c r="I1102" s="160"/>
      <c r="J1102" s="160"/>
      <c r="K1102" s="160"/>
      <c r="L1102" s="160"/>
      <c r="M1102" s="160"/>
    </row>
    <row r="1103" spans="2:13">
      <c r="B1103" s="391"/>
      <c r="C1103" s="160"/>
      <c r="D1103" s="160"/>
      <c r="E1103" s="160"/>
      <c r="F1103" s="160"/>
      <c r="G1103" s="160"/>
      <c r="H1103" s="160"/>
      <c r="I1103" s="160"/>
      <c r="J1103" s="160"/>
      <c r="K1103" s="160"/>
      <c r="L1103" s="160"/>
      <c r="M1103" s="160"/>
    </row>
    <row r="1104" spans="2:13">
      <c r="B1104" s="391"/>
      <c r="C1104" s="160"/>
      <c r="D1104" s="160"/>
      <c r="E1104" s="160"/>
      <c r="F1104" s="160"/>
      <c r="G1104" s="160"/>
      <c r="H1104" s="160"/>
      <c r="I1104" s="160"/>
      <c r="J1104" s="160"/>
      <c r="K1104" s="160"/>
      <c r="L1104" s="160"/>
      <c r="M1104" s="160"/>
    </row>
    <row r="1105" spans="2:13">
      <c r="B1105" s="391"/>
      <c r="C1105" s="160"/>
      <c r="D1105" s="160"/>
      <c r="E1105" s="160"/>
      <c r="F1105" s="160"/>
      <c r="G1105" s="160"/>
      <c r="H1105" s="160"/>
      <c r="I1105" s="160"/>
      <c r="J1105" s="160"/>
      <c r="K1105" s="160"/>
      <c r="L1105" s="160"/>
      <c r="M1105" s="160"/>
    </row>
    <row r="1106" spans="2:13">
      <c r="B1106" s="391"/>
      <c r="C1106" s="160"/>
      <c r="D1106" s="160"/>
      <c r="E1106" s="160"/>
      <c r="F1106" s="160"/>
      <c r="G1106" s="160"/>
      <c r="H1106" s="160"/>
      <c r="I1106" s="160"/>
      <c r="J1106" s="160"/>
      <c r="K1106" s="160"/>
      <c r="L1106" s="160"/>
      <c r="M1106" s="160"/>
    </row>
    <row r="1107" spans="2:13">
      <c r="B1107" s="391"/>
      <c r="C1107" s="160"/>
      <c r="D1107" s="160"/>
      <c r="E1107" s="160"/>
      <c r="F1107" s="160"/>
      <c r="G1107" s="160"/>
      <c r="H1107" s="160"/>
      <c r="I1107" s="160"/>
      <c r="J1107" s="160"/>
      <c r="K1107" s="160"/>
      <c r="L1107" s="160"/>
      <c r="M1107" s="160"/>
    </row>
    <row r="1108" spans="2:13">
      <c r="B1108" s="391"/>
      <c r="C1108" s="160"/>
      <c r="D1108" s="160"/>
      <c r="E1108" s="160"/>
      <c r="F1108" s="160"/>
      <c r="G1108" s="160"/>
      <c r="H1108" s="160"/>
      <c r="I1108" s="160"/>
      <c r="J1108" s="160"/>
      <c r="K1108" s="160"/>
      <c r="L1108" s="160"/>
      <c r="M1108" s="160"/>
    </row>
    <row r="1109" spans="2:13">
      <c r="B1109" s="391"/>
      <c r="C1109" s="160"/>
      <c r="D1109" s="160"/>
      <c r="E1109" s="160"/>
      <c r="F1109" s="160"/>
      <c r="G1109" s="160"/>
      <c r="H1109" s="160"/>
      <c r="I1109" s="160"/>
      <c r="J1109" s="160"/>
      <c r="K1109" s="160"/>
      <c r="L1109" s="160"/>
      <c r="M1109" s="160"/>
    </row>
    <row r="1110" spans="2:13">
      <c r="B1110" s="391"/>
      <c r="C1110" s="160"/>
      <c r="D1110" s="160"/>
      <c r="E1110" s="160"/>
      <c r="F1110" s="160"/>
      <c r="G1110" s="160"/>
      <c r="H1110" s="160"/>
      <c r="I1110" s="160"/>
      <c r="J1110" s="160"/>
      <c r="K1110" s="160"/>
      <c r="L1110" s="160"/>
      <c r="M1110" s="160"/>
    </row>
    <row r="1111" spans="2:13">
      <c r="B1111" s="391"/>
      <c r="C1111" s="160"/>
      <c r="D1111" s="160"/>
      <c r="E1111" s="160"/>
      <c r="F1111" s="160"/>
      <c r="G1111" s="160"/>
      <c r="H1111" s="160"/>
      <c r="I1111" s="160"/>
      <c r="J1111" s="160"/>
      <c r="K1111" s="160"/>
      <c r="L1111" s="160"/>
      <c r="M1111" s="160"/>
    </row>
    <row r="1112" spans="2:13">
      <c r="B1112" s="391"/>
      <c r="C1112" s="160"/>
      <c r="D1112" s="160"/>
      <c r="E1112" s="160"/>
      <c r="F1112" s="160"/>
      <c r="G1112" s="160"/>
      <c r="H1112" s="160"/>
      <c r="I1112" s="160"/>
      <c r="J1112" s="160"/>
      <c r="K1112" s="160"/>
      <c r="L1112" s="160"/>
      <c r="M1112" s="160"/>
    </row>
    <row r="1113" spans="2:13">
      <c r="B1113" s="391"/>
      <c r="C1113" s="160"/>
      <c r="D1113" s="160"/>
      <c r="E1113" s="160"/>
      <c r="F1113" s="160"/>
      <c r="G1113" s="160"/>
      <c r="H1113" s="160"/>
      <c r="I1113" s="160"/>
      <c r="J1113" s="160"/>
      <c r="K1113" s="160"/>
      <c r="L1113" s="160"/>
      <c r="M1113" s="160"/>
    </row>
    <row r="1114" spans="2:13">
      <c r="B1114" s="391"/>
      <c r="C1114" s="160"/>
      <c r="D1114" s="160"/>
      <c r="E1114" s="160"/>
      <c r="F1114" s="160"/>
      <c r="G1114" s="160"/>
      <c r="H1114" s="160"/>
      <c r="I1114" s="160"/>
      <c r="J1114" s="160"/>
      <c r="K1114" s="160"/>
      <c r="L1114" s="160"/>
      <c r="M1114" s="160"/>
    </row>
    <row r="1115" spans="2:13">
      <c r="B1115" s="391"/>
      <c r="C1115" s="160"/>
      <c r="D1115" s="160"/>
      <c r="E1115" s="160"/>
      <c r="F1115" s="160"/>
      <c r="G1115" s="160"/>
      <c r="H1115" s="160"/>
      <c r="I1115" s="160"/>
      <c r="J1115" s="160"/>
      <c r="K1115" s="160"/>
      <c r="L1115" s="160"/>
      <c r="M1115" s="160"/>
    </row>
    <row r="1116" spans="2:13">
      <c r="B1116" s="391"/>
      <c r="C1116" s="160"/>
      <c r="D1116" s="160"/>
      <c r="E1116" s="160"/>
      <c r="F1116" s="160"/>
      <c r="G1116" s="160"/>
      <c r="H1116" s="160"/>
      <c r="I1116" s="160"/>
      <c r="J1116" s="160"/>
      <c r="K1116" s="160"/>
      <c r="L1116" s="160"/>
      <c r="M1116" s="160"/>
    </row>
    <row r="1117" spans="2:13">
      <c r="B1117" s="391"/>
      <c r="C1117" s="160"/>
      <c r="D1117" s="160"/>
      <c r="E1117" s="160"/>
      <c r="F1117" s="160"/>
      <c r="G1117" s="160"/>
      <c r="H1117" s="160"/>
      <c r="I1117" s="160"/>
      <c r="J1117" s="160"/>
      <c r="K1117" s="160"/>
      <c r="L1117" s="160"/>
      <c r="M1117" s="160"/>
    </row>
    <row r="1118" spans="2:13">
      <c r="B1118" s="391"/>
      <c r="C1118" s="160"/>
      <c r="D1118" s="160"/>
      <c r="E1118" s="160"/>
      <c r="F1118" s="160"/>
      <c r="G1118" s="160"/>
      <c r="H1118" s="160"/>
      <c r="I1118" s="160"/>
      <c r="J1118" s="160"/>
      <c r="K1118" s="160"/>
      <c r="L1118" s="160"/>
      <c r="M1118" s="160"/>
    </row>
    <row r="1119" spans="2:13">
      <c r="B1119" s="391"/>
      <c r="C1119" s="160"/>
      <c r="D1119" s="160"/>
      <c r="E1119" s="160"/>
      <c r="F1119" s="160"/>
      <c r="G1119" s="160"/>
      <c r="H1119" s="160"/>
      <c r="I1119" s="160"/>
      <c r="J1119" s="160"/>
      <c r="K1119" s="160"/>
      <c r="L1119" s="160"/>
      <c r="M1119" s="160"/>
    </row>
    <row r="1120" spans="2:13">
      <c r="B1120" s="391"/>
      <c r="C1120" s="160"/>
      <c r="D1120" s="160"/>
      <c r="E1120" s="160"/>
      <c r="F1120" s="160"/>
      <c r="G1120" s="160"/>
      <c r="H1120" s="160"/>
      <c r="I1120" s="160"/>
      <c r="J1120" s="160"/>
      <c r="K1120" s="160"/>
      <c r="L1120" s="160"/>
      <c r="M1120" s="160"/>
    </row>
    <row r="1121" spans="2:13">
      <c r="B1121" s="391"/>
      <c r="C1121" s="160"/>
      <c r="D1121" s="160"/>
      <c r="E1121" s="160"/>
      <c r="F1121" s="160"/>
      <c r="G1121" s="160"/>
      <c r="H1121" s="160"/>
      <c r="I1121" s="160"/>
      <c r="J1121" s="160"/>
      <c r="K1121" s="160"/>
      <c r="L1121" s="160"/>
      <c r="M1121" s="160"/>
    </row>
    <row r="1122" spans="2:13">
      <c r="B1122" s="391"/>
      <c r="C1122" s="160"/>
      <c r="D1122" s="160"/>
      <c r="E1122" s="160"/>
      <c r="F1122" s="160"/>
      <c r="G1122" s="160"/>
      <c r="H1122" s="160"/>
      <c r="I1122" s="160"/>
      <c r="J1122" s="160"/>
      <c r="K1122" s="160"/>
      <c r="L1122" s="160"/>
      <c r="M1122" s="160"/>
    </row>
    <row r="1123" spans="2:13">
      <c r="B1123" s="391"/>
      <c r="C1123" s="160"/>
      <c r="D1123" s="160"/>
      <c r="E1123" s="160"/>
      <c r="F1123" s="160"/>
      <c r="G1123" s="160"/>
      <c r="H1123" s="160"/>
      <c r="I1123" s="160"/>
      <c r="J1123" s="160"/>
      <c r="K1123" s="160"/>
      <c r="L1123" s="160"/>
      <c r="M1123" s="160"/>
    </row>
    <row r="1124" spans="2:13">
      <c r="B1124" s="391"/>
      <c r="C1124" s="160"/>
      <c r="D1124" s="160"/>
      <c r="E1124" s="160"/>
      <c r="F1124" s="160"/>
      <c r="G1124" s="160"/>
      <c r="H1124" s="160"/>
      <c r="I1124" s="160"/>
      <c r="J1124" s="160"/>
      <c r="K1124" s="160"/>
      <c r="L1124" s="160"/>
      <c r="M1124" s="160"/>
    </row>
    <row r="1125" spans="2:13">
      <c r="B1125" s="391"/>
      <c r="C1125" s="160"/>
      <c r="D1125" s="160"/>
      <c r="E1125" s="160"/>
      <c r="F1125" s="160"/>
      <c r="G1125" s="160"/>
      <c r="H1125" s="160"/>
      <c r="I1125" s="160"/>
      <c r="J1125" s="160"/>
      <c r="K1125" s="160"/>
      <c r="L1125" s="160"/>
      <c r="M1125" s="160"/>
    </row>
    <row r="1126" spans="2:13">
      <c r="B1126" s="391"/>
      <c r="C1126" s="160"/>
      <c r="D1126" s="160"/>
      <c r="E1126" s="160"/>
      <c r="F1126" s="160"/>
      <c r="G1126" s="160"/>
      <c r="H1126" s="160"/>
      <c r="I1126" s="160"/>
      <c r="J1126" s="160"/>
      <c r="K1126" s="160"/>
      <c r="L1126" s="160"/>
      <c r="M1126" s="160"/>
    </row>
    <row r="1127" spans="2:13">
      <c r="B1127" s="391"/>
      <c r="C1127" s="160"/>
      <c r="D1127" s="160"/>
      <c r="E1127" s="160"/>
      <c r="F1127" s="160"/>
      <c r="G1127" s="160"/>
      <c r="H1127" s="160"/>
      <c r="I1127" s="160"/>
      <c r="J1127" s="160"/>
      <c r="K1127" s="160"/>
      <c r="L1127" s="160"/>
      <c r="M1127" s="160"/>
    </row>
    <row r="1128" spans="2:13">
      <c r="B1128" s="391"/>
      <c r="C1128" s="160"/>
      <c r="D1128" s="160"/>
      <c r="E1128" s="160"/>
      <c r="F1128" s="160"/>
      <c r="G1128" s="160"/>
      <c r="H1128" s="160"/>
      <c r="I1128" s="160"/>
      <c r="J1128" s="160"/>
      <c r="K1128" s="160"/>
      <c r="L1128" s="160"/>
      <c r="M1128" s="160"/>
    </row>
    <row r="1129" spans="2:13">
      <c r="B1129" s="391"/>
      <c r="C1129" s="160"/>
      <c r="D1129" s="160"/>
      <c r="E1129" s="160"/>
      <c r="F1129" s="160"/>
      <c r="G1129" s="160"/>
      <c r="H1129" s="160"/>
      <c r="I1129" s="160"/>
      <c r="J1129" s="160"/>
      <c r="K1129" s="160"/>
      <c r="L1129" s="160"/>
      <c r="M1129" s="160"/>
    </row>
    <row r="1130" spans="2:13">
      <c r="B1130" s="391"/>
      <c r="C1130" s="160"/>
      <c r="D1130" s="160"/>
      <c r="E1130" s="160"/>
      <c r="F1130" s="160"/>
      <c r="G1130" s="160"/>
      <c r="H1130" s="160"/>
      <c r="I1130" s="160"/>
      <c r="J1130" s="160"/>
      <c r="K1130" s="160"/>
      <c r="L1130" s="160"/>
      <c r="M1130" s="160"/>
    </row>
    <row r="1131" spans="2:13">
      <c r="B1131" s="391"/>
      <c r="C1131" s="160"/>
      <c r="D1131" s="160"/>
      <c r="E1131" s="160"/>
      <c r="F1131" s="160"/>
      <c r="G1131" s="160"/>
      <c r="H1131" s="160"/>
      <c r="I1131" s="160"/>
      <c r="J1131" s="160"/>
      <c r="K1131" s="160"/>
      <c r="L1131" s="160"/>
      <c r="M1131" s="160"/>
    </row>
    <row r="1132" spans="2:13">
      <c r="B1132" s="391"/>
      <c r="C1132" s="160"/>
      <c r="D1132" s="160"/>
      <c r="E1132" s="160"/>
      <c r="F1132" s="160"/>
      <c r="G1132" s="160"/>
      <c r="H1132" s="160"/>
      <c r="I1132" s="160"/>
      <c r="J1132" s="160"/>
      <c r="K1132" s="160"/>
      <c r="L1132" s="160"/>
      <c r="M1132" s="160"/>
    </row>
    <row r="1133" spans="2:13">
      <c r="B1133" s="391"/>
      <c r="C1133" s="160"/>
      <c r="D1133" s="160"/>
      <c r="E1133" s="160"/>
      <c r="F1133" s="160"/>
      <c r="G1133" s="160"/>
      <c r="H1133" s="160"/>
      <c r="I1133" s="160"/>
      <c r="J1133" s="160"/>
      <c r="K1133" s="160"/>
      <c r="L1133" s="160"/>
      <c r="M1133" s="160"/>
    </row>
    <row r="1134" spans="2:13">
      <c r="B1134" s="391"/>
      <c r="C1134" s="160"/>
      <c r="D1134" s="160"/>
      <c r="E1134" s="160"/>
      <c r="F1134" s="160"/>
      <c r="G1134" s="160"/>
      <c r="H1134" s="160"/>
      <c r="I1134" s="160"/>
      <c r="J1134" s="160"/>
      <c r="K1134" s="160"/>
      <c r="L1134" s="160"/>
      <c r="M1134" s="160"/>
    </row>
    <row r="1135" spans="2:13">
      <c r="B1135" s="391"/>
      <c r="C1135" s="160"/>
      <c r="D1135" s="160"/>
      <c r="E1135" s="160"/>
      <c r="F1135" s="160"/>
      <c r="G1135" s="160"/>
      <c r="H1135" s="160"/>
      <c r="I1135" s="160"/>
      <c r="J1135" s="160"/>
      <c r="K1135" s="160"/>
      <c r="L1135" s="160"/>
      <c r="M1135" s="160"/>
    </row>
    <row r="1136" spans="2:13">
      <c r="B1136" s="391"/>
      <c r="C1136" s="160"/>
      <c r="D1136" s="160"/>
      <c r="E1136" s="160"/>
      <c r="F1136" s="160"/>
      <c r="G1136" s="160"/>
      <c r="H1136" s="160"/>
      <c r="I1136" s="160"/>
      <c r="J1136" s="160"/>
      <c r="K1136" s="160"/>
      <c r="L1136" s="160"/>
      <c r="M1136" s="160"/>
    </row>
    <row r="1137" spans="2:13">
      <c r="B1137" s="391"/>
      <c r="C1137" s="160"/>
      <c r="D1137" s="160"/>
      <c r="E1137" s="160"/>
      <c r="F1137" s="160"/>
      <c r="G1137" s="160"/>
      <c r="H1137" s="160"/>
      <c r="I1137" s="160"/>
      <c r="J1137" s="160"/>
      <c r="K1137" s="160"/>
      <c r="L1137" s="160"/>
      <c r="M1137" s="160"/>
    </row>
    <row r="1138" spans="2:13">
      <c r="B1138" s="391"/>
      <c r="C1138" s="160"/>
      <c r="D1138" s="160"/>
      <c r="E1138" s="160"/>
      <c r="F1138" s="160"/>
      <c r="G1138" s="160"/>
      <c r="H1138" s="160"/>
      <c r="I1138" s="160"/>
      <c r="J1138" s="160"/>
      <c r="K1138" s="160"/>
      <c r="L1138" s="160"/>
      <c r="M1138" s="160"/>
    </row>
    <row r="1139" spans="2:13">
      <c r="B1139" s="391"/>
      <c r="C1139" s="160"/>
      <c r="D1139" s="160"/>
      <c r="E1139" s="160"/>
      <c r="F1139" s="160"/>
      <c r="G1139" s="160"/>
      <c r="H1139" s="160"/>
      <c r="I1139" s="160"/>
      <c r="J1139" s="160"/>
      <c r="K1139" s="160"/>
      <c r="L1139" s="160"/>
      <c r="M1139" s="160"/>
    </row>
    <row r="1140" spans="2:13">
      <c r="B1140" s="391"/>
      <c r="C1140" s="160"/>
      <c r="D1140" s="160"/>
      <c r="E1140" s="160"/>
      <c r="F1140" s="160"/>
      <c r="G1140" s="160"/>
      <c r="H1140" s="160"/>
      <c r="I1140" s="160"/>
      <c r="J1140" s="160"/>
      <c r="K1140" s="160"/>
      <c r="L1140" s="160"/>
      <c r="M1140" s="160"/>
    </row>
    <row r="1141" spans="2:13">
      <c r="B1141" s="391"/>
      <c r="C1141" s="160"/>
      <c r="D1141" s="160"/>
      <c r="E1141" s="160"/>
      <c r="F1141" s="160"/>
      <c r="G1141" s="160"/>
      <c r="H1141" s="160"/>
      <c r="I1141" s="160"/>
      <c r="J1141" s="160"/>
      <c r="K1141" s="160"/>
      <c r="L1141" s="160"/>
      <c r="M1141" s="160"/>
    </row>
    <row r="1142" spans="2:13">
      <c r="B1142" s="391"/>
      <c r="C1142" s="160"/>
      <c r="D1142" s="160"/>
      <c r="E1142" s="160"/>
      <c r="F1142" s="160"/>
      <c r="G1142" s="160"/>
      <c r="H1142" s="160"/>
      <c r="I1142" s="160"/>
      <c r="J1142" s="160"/>
      <c r="K1142" s="160"/>
      <c r="L1142" s="160"/>
      <c r="M1142" s="160"/>
    </row>
    <row r="1143" spans="2:13">
      <c r="B1143" s="391"/>
      <c r="C1143" s="160"/>
      <c r="D1143" s="160"/>
      <c r="E1143" s="160"/>
      <c r="F1143" s="160"/>
      <c r="G1143" s="160"/>
      <c r="H1143" s="160"/>
      <c r="I1143" s="160"/>
      <c r="J1143" s="160"/>
      <c r="K1143" s="160"/>
      <c r="L1143" s="160"/>
      <c r="M1143" s="160"/>
    </row>
    <row r="1144" spans="2:13">
      <c r="B1144" s="391"/>
      <c r="C1144" s="160"/>
      <c r="D1144" s="160"/>
      <c r="E1144" s="160"/>
      <c r="F1144" s="160"/>
      <c r="G1144" s="160"/>
      <c r="H1144" s="160"/>
      <c r="I1144" s="160"/>
      <c r="J1144" s="160"/>
      <c r="K1144" s="160"/>
      <c r="L1144" s="160"/>
      <c r="M1144" s="160"/>
    </row>
    <row r="1145" spans="2:13">
      <c r="B1145" s="391"/>
      <c r="C1145" s="160"/>
      <c r="D1145" s="160"/>
      <c r="E1145" s="160"/>
      <c r="F1145" s="160"/>
      <c r="G1145" s="160"/>
      <c r="H1145" s="160"/>
      <c r="I1145" s="160"/>
      <c r="J1145" s="160"/>
      <c r="K1145" s="160"/>
      <c r="L1145" s="160"/>
      <c r="M1145" s="160"/>
    </row>
    <row r="1146" spans="2:13">
      <c r="B1146" s="391"/>
      <c r="C1146" s="160"/>
      <c r="D1146" s="160"/>
      <c r="E1146" s="160"/>
      <c r="F1146" s="160"/>
      <c r="G1146" s="160"/>
      <c r="H1146" s="160"/>
      <c r="I1146" s="160"/>
      <c r="J1146" s="160"/>
      <c r="K1146" s="160"/>
      <c r="L1146" s="160"/>
      <c r="M1146" s="160"/>
    </row>
    <row r="1147" spans="2:13">
      <c r="B1147" s="391"/>
      <c r="C1147" s="160"/>
      <c r="D1147" s="160"/>
      <c r="E1147" s="160"/>
      <c r="F1147" s="160"/>
      <c r="G1147" s="160"/>
      <c r="H1147" s="160"/>
      <c r="I1147" s="160"/>
      <c r="J1147" s="160"/>
      <c r="K1147" s="160"/>
      <c r="L1147" s="160"/>
      <c r="M1147" s="160"/>
    </row>
    <row r="1148" spans="2:13">
      <c r="B1148" s="391"/>
      <c r="C1148" s="160"/>
      <c r="D1148" s="160"/>
      <c r="E1148" s="160"/>
      <c r="F1148" s="160"/>
      <c r="G1148" s="160"/>
      <c r="H1148" s="160"/>
      <c r="I1148" s="160"/>
      <c r="J1148" s="160"/>
      <c r="K1148" s="160"/>
      <c r="L1148" s="160"/>
      <c r="M1148" s="160"/>
    </row>
    <row r="1149" spans="2:13">
      <c r="B1149" s="391"/>
      <c r="C1149" s="160"/>
      <c r="D1149" s="160"/>
      <c r="E1149" s="160"/>
      <c r="F1149" s="160"/>
      <c r="G1149" s="160"/>
      <c r="H1149" s="160"/>
      <c r="I1149" s="160"/>
      <c r="J1149" s="160"/>
      <c r="K1149" s="160"/>
      <c r="L1149" s="160"/>
      <c r="M1149" s="160"/>
    </row>
    <row r="1150" spans="2:13">
      <c r="B1150" s="391"/>
      <c r="C1150" s="160"/>
      <c r="D1150" s="160"/>
      <c r="E1150" s="160"/>
      <c r="F1150" s="160"/>
      <c r="G1150" s="160"/>
      <c r="H1150" s="160"/>
      <c r="I1150" s="160"/>
      <c r="J1150" s="160"/>
      <c r="K1150" s="160"/>
      <c r="L1150" s="160"/>
      <c r="M1150" s="160"/>
    </row>
    <row r="1151" spans="2:13">
      <c r="B1151" s="391"/>
      <c r="C1151" s="160"/>
      <c r="D1151" s="160"/>
      <c r="E1151" s="160"/>
      <c r="F1151" s="160"/>
      <c r="G1151" s="160"/>
      <c r="H1151" s="160"/>
      <c r="I1151" s="160"/>
      <c r="J1151" s="160"/>
      <c r="K1151" s="160"/>
      <c r="L1151" s="160"/>
      <c r="M1151" s="160"/>
    </row>
    <row r="1152" spans="2:13">
      <c r="B1152" s="391"/>
      <c r="C1152" s="160"/>
      <c r="D1152" s="160"/>
      <c r="E1152" s="160"/>
      <c r="F1152" s="160"/>
      <c r="G1152" s="160"/>
      <c r="H1152" s="160"/>
      <c r="I1152" s="160"/>
      <c r="J1152" s="160"/>
      <c r="K1152" s="160"/>
      <c r="L1152" s="160"/>
      <c r="M1152" s="160"/>
    </row>
    <row r="1153" spans="2:13">
      <c r="B1153" s="391"/>
      <c r="C1153" s="160"/>
      <c r="D1153" s="160"/>
      <c r="E1153" s="160"/>
      <c r="F1153" s="160"/>
      <c r="G1153" s="160"/>
      <c r="H1153" s="160"/>
      <c r="I1153" s="160"/>
      <c r="J1153" s="160"/>
      <c r="K1153" s="160"/>
      <c r="L1153" s="160"/>
      <c r="M1153" s="160"/>
    </row>
    <row r="1154" spans="2:13">
      <c r="B1154" s="391"/>
      <c r="C1154" s="160"/>
      <c r="D1154" s="160"/>
      <c r="E1154" s="160"/>
      <c r="F1154" s="160"/>
      <c r="G1154" s="160"/>
      <c r="H1154" s="160"/>
      <c r="I1154" s="160"/>
      <c r="J1154" s="160"/>
      <c r="K1154" s="160"/>
      <c r="L1154" s="160"/>
      <c r="M1154" s="160"/>
    </row>
    <row r="1155" spans="2:13">
      <c r="B1155" s="391"/>
      <c r="C1155" s="160"/>
      <c r="D1155" s="160"/>
      <c r="E1155" s="160"/>
      <c r="F1155" s="160"/>
      <c r="G1155" s="160"/>
      <c r="H1155" s="160"/>
      <c r="I1155" s="160"/>
      <c r="J1155" s="160"/>
      <c r="K1155" s="160"/>
      <c r="L1155" s="160"/>
      <c r="M1155" s="160"/>
    </row>
    <row r="1156" spans="2:13">
      <c r="B1156" s="391"/>
      <c r="C1156" s="160"/>
      <c r="D1156" s="160"/>
      <c r="E1156" s="160"/>
      <c r="F1156" s="160"/>
      <c r="G1156" s="160"/>
      <c r="H1156" s="160"/>
      <c r="I1156" s="160"/>
      <c r="J1156" s="160"/>
      <c r="K1156" s="160"/>
      <c r="L1156" s="160"/>
      <c r="M1156" s="160"/>
    </row>
    <row r="1157" spans="2:13">
      <c r="B1157" s="391"/>
      <c r="C1157" s="160"/>
      <c r="D1157" s="160"/>
      <c r="E1157" s="160"/>
      <c r="F1157" s="160"/>
      <c r="G1157" s="160"/>
      <c r="H1157" s="160"/>
      <c r="I1157" s="160"/>
      <c r="J1157" s="160"/>
      <c r="K1157" s="160"/>
      <c r="L1157" s="160"/>
      <c r="M1157" s="160"/>
    </row>
    <row r="1158" spans="2:13">
      <c r="B1158" s="391"/>
      <c r="C1158" s="160"/>
      <c r="D1158" s="160"/>
      <c r="E1158" s="160"/>
      <c r="F1158" s="160"/>
      <c r="G1158" s="160"/>
      <c r="H1158" s="160"/>
      <c r="I1158" s="160"/>
      <c r="J1158" s="160"/>
      <c r="K1158" s="160"/>
      <c r="L1158" s="160"/>
      <c r="M1158" s="160"/>
    </row>
    <row r="1159" spans="2:13">
      <c r="B1159" s="391"/>
      <c r="C1159" s="160"/>
      <c r="D1159" s="160"/>
      <c r="E1159" s="160"/>
      <c r="F1159" s="160"/>
      <c r="G1159" s="160"/>
      <c r="H1159" s="160"/>
      <c r="I1159" s="160"/>
      <c r="J1159" s="160"/>
      <c r="K1159" s="160"/>
      <c r="L1159" s="160"/>
      <c r="M1159" s="160"/>
    </row>
    <row r="1160" spans="2:13">
      <c r="B1160" s="391"/>
      <c r="C1160" s="160"/>
      <c r="D1160" s="160"/>
      <c r="E1160" s="160"/>
      <c r="F1160" s="160"/>
      <c r="G1160" s="160"/>
      <c r="H1160" s="160"/>
      <c r="I1160" s="160"/>
      <c r="J1160" s="160"/>
      <c r="K1160" s="160"/>
      <c r="L1160" s="160"/>
      <c r="M1160" s="160"/>
    </row>
    <row r="1161" spans="2:13">
      <c r="B1161" s="391"/>
      <c r="C1161" s="160"/>
      <c r="D1161" s="160"/>
      <c r="E1161" s="160"/>
      <c r="F1161" s="160"/>
      <c r="G1161" s="160"/>
      <c r="H1161" s="160"/>
      <c r="I1161" s="160"/>
      <c r="J1161" s="160"/>
      <c r="K1161" s="160"/>
      <c r="L1161" s="160"/>
      <c r="M1161" s="160"/>
    </row>
    <row r="1162" spans="2:13">
      <c r="B1162" s="391"/>
      <c r="C1162" s="160"/>
      <c r="D1162" s="160"/>
      <c r="E1162" s="160"/>
      <c r="F1162" s="160"/>
      <c r="G1162" s="160"/>
      <c r="H1162" s="160"/>
      <c r="I1162" s="160"/>
      <c r="J1162" s="160"/>
      <c r="K1162" s="160"/>
      <c r="L1162" s="160"/>
      <c r="M1162" s="160"/>
    </row>
    <row r="1163" spans="2:13">
      <c r="B1163" s="391"/>
      <c r="C1163" s="160"/>
      <c r="D1163" s="160"/>
      <c r="E1163" s="160"/>
      <c r="F1163" s="160"/>
      <c r="G1163" s="160"/>
      <c r="H1163" s="160"/>
      <c r="I1163" s="160"/>
      <c r="J1163" s="160"/>
      <c r="K1163" s="160"/>
      <c r="L1163" s="160"/>
      <c r="M1163" s="160"/>
    </row>
    <row r="1164" spans="2:13">
      <c r="B1164" s="391"/>
      <c r="C1164" s="160"/>
      <c r="D1164" s="160"/>
      <c r="E1164" s="160"/>
      <c r="F1164" s="160"/>
      <c r="G1164" s="160"/>
      <c r="H1164" s="160"/>
      <c r="I1164" s="160"/>
      <c r="J1164" s="160"/>
      <c r="K1164" s="160"/>
      <c r="L1164" s="160"/>
      <c r="M1164" s="160"/>
    </row>
    <row r="1165" spans="2:13">
      <c r="B1165" s="391"/>
      <c r="C1165" s="160"/>
      <c r="D1165" s="160"/>
      <c r="E1165" s="160"/>
      <c r="F1165" s="160"/>
      <c r="G1165" s="160"/>
      <c r="H1165" s="160"/>
      <c r="I1165" s="160"/>
      <c r="J1165" s="160"/>
      <c r="K1165" s="160"/>
      <c r="L1165" s="160"/>
      <c r="M1165" s="160"/>
    </row>
    <row r="1166" spans="2:13">
      <c r="B1166" s="391"/>
      <c r="C1166" s="160"/>
      <c r="D1166" s="160"/>
      <c r="E1166" s="160"/>
      <c r="F1166" s="160"/>
      <c r="G1166" s="160"/>
      <c r="H1166" s="160"/>
      <c r="I1166" s="160"/>
      <c r="J1166" s="160"/>
      <c r="K1166" s="160"/>
      <c r="L1166" s="160"/>
      <c r="M1166" s="160"/>
    </row>
    <row r="1167" spans="2:13">
      <c r="B1167" s="391"/>
      <c r="C1167" s="160"/>
      <c r="D1167" s="160"/>
      <c r="E1167" s="160"/>
      <c r="F1167" s="160"/>
      <c r="G1167" s="160"/>
      <c r="H1167" s="160"/>
      <c r="I1167" s="160"/>
      <c r="J1167" s="160"/>
      <c r="K1167" s="160"/>
      <c r="L1167" s="160"/>
      <c r="M1167" s="160"/>
    </row>
    <row r="1168" spans="2:13">
      <c r="B1168" s="391"/>
      <c r="C1168" s="160"/>
      <c r="D1168" s="160"/>
      <c r="E1168" s="160"/>
      <c r="F1168" s="160"/>
      <c r="G1168" s="160"/>
      <c r="H1168" s="160"/>
      <c r="I1168" s="160"/>
      <c r="J1168" s="160"/>
      <c r="K1168" s="160"/>
      <c r="L1168" s="160"/>
      <c r="M1168" s="160"/>
    </row>
    <row r="1169" spans="2:13">
      <c r="B1169" s="391"/>
      <c r="C1169" s="160"/>
      <c r="D1169" s="160"/>
      <c r="E1169" s="160"/>
      <c r="F1169" s="160"/>
      <c r="G1169" s="160"/>
      <c r="H1169" s="160"/>
      <c r="I1169" s="160"/>
      <c r="J1169" s="160"/>
      <c r="K1169" s="160"/>
      <c r="L1169" s="160"/>
      <c r="M1169" s="160"/>
    </row>
    <row r="1170" spans="2:13">
      <c r="B1170" s="391"/>
      <c r="C1170" s="160"/>
      <c r="D1170" s="160"/>
      <c r="E1170" s="160"/>
      <c r="F1170" s="160"/>
      <c r="G1170" s="160"/>
      <c r="H1170" s="160"/>
      <c r="I1170" s="160"/>
      <c r="J1170" s="160"/>
      <c r="K1170" s="160"/>
      <c r="L1170" s="160"/>
      <c r="M1170" s="160"/>
    </row>
    <row r="1171" spans="2:13">
      <c r="B1171" s="391"/>
      <c r="C1171" s="160"/>
      <c r="D1171" s="160"/>
      <c r="E1171" s="160"/>
      <c r="F1171" s="160"/>
      <c r="G1171" s="160"/>
      <c r="H1171" s="160"/>
      <c r="I1171" s="160"/>
      <c r="J1171" s="160"/>
      <c r="K1171" s="160"/>
      <c r="L1171" s="160"/>
      <c r="M1171" s="160"/>
    </row>
    <row r="1172" spans="2:13">
      <c r="B1172" s="391"/>
      <c r="C1172" s="160"/>
      <c r="D1172" s="160"/>
      <c r="E1172" s="160"/>
      <c r="F1172" s="160"/>
      <c r="G1172" s="160"/>
      <c r="H1172" s="160"/>
      <c r="I1172" s="160"/>
      <c r="J1172" s="160"/>
      <c r="K1172" s="160"/>
      <c r="L1172" s="160"/>
      <c r="M1172" s="160"/>
    </row>
    <row r="1173" spans="2:13">
      <c r="B1173" s="391"/>
      <c r="C1173" s="160"/>
      <c r="D1173" s="160"/>
      <c r="E1173" s="160"/>
      <c r="F1173" s="160"/>
      <c r="G1173" s="160"/>
      <c r="H1173" s="160"/>
      <c r="I1173" s="160"/>
      <c r="J1173" s="160"/>
      <c r="K1173" s="160"/>
      <c r="L1173" s="160"/>
      <c r="M1173" s="160"/>
    </row>
    <row r="1174" spans="2:13">
      <c r="B1174" s="391"/>
      <c r="C1174" s="160"/>
      <c r="D1174" s="160"/>
      <c r="E1174" s="160"/>
      <c r="F1174" s="160"/>
      <c r="G1174" s="160"/>
      <c r="H1174" s="160"/>
      <c r="I1174" s="160"/>
      <c r="J1174" s="160"/>
      <c r="K1174" s="160"/>
      <c r="L1174" s="160"/>
      <c r="M1174" s="160"/>
    </row>
    <row r="1175" spans="2:13">
      <c r="B1175" s="391"/>
      <c r="C1175" s="160"/>
      <c r="D1175" s="160"/>
      <c r="E1175" s="160"/>
      <c r="F1175" s="160"/>
      <c r="G1175" s="160"/>
      <c r="H1175" s="160"/>
      <c r="I1175" s="160"/>
      <c r="J1175" s="160"/>
      <c r="K1175" s="160"/>
      <c r="L1175" s="160"/>
      <c r="M1175" s="160"/>
    </row>
    <row r="1176" spans="2:13">
      <c r="B1176" s="391"/>
      <c r="C1176" s="160"/>
      <c r="D1176" s="160"/>
      <c r="E1176" s="160"/>
      <c r="F1176" s="160"/>
      <c r="G1176" s="160"/>
      <c r="H1176" s="160"/>
      <c r="I1176" s="160"/>
      <c r="J1176" s="160"/>
      <c r="K1176" s="160"/>
      <c r="L1176" s="160"/>
      <c r="M1176" s="160"/>
    </row>
    <row r="1177" spans="2:13">
      <c r="B1177" s="391"/>
      <c r="C1177" s="160"/>
      <c r="D1177" s="160"/>
      <c r="E1177" s="160"/>
      <c r="F1177" s="160"/>
      <c r="G1177" s="160"/>
      <c r="H1177" s="160"/>
      <c r="I1177" s="160"/>
      <c r="J1177" s="160"/>
      <c r="K1177" s="160"/>
      <c r="L1177" s="160"/>
      <c r="M1177" s="160"/>
    </row>
    <row r="1178" spans="2:13">
      <c r="B1178" s="391"/>
      <c r="C1178" s="160"/>
      <c r="D1178" s="160"/>
      <c r="E1178" s="160"/>
      <c r="F1178" s="160"/>
      <c r="G1178" s="160"/>
      <c r="H1178" s="160"/>
      <c r="I1178" s="160"/>
      <c r="J1178" s="160"/>
      <c r="K1178" s="160"/>
      <c r="L1178" s="160"/>
      <c r="M1178" s="160"/>
    </row>
    <row r="1179" spans="2:13">
      <c r="B1179" s="391"/>
      <c r="C1179" s="160"/>
      <c r="D1179" s="160"/>
      <c r="E1179" s="160"/>
      <c r="F1179" s="160"/>
      <c r="G1179" s="160"/>
      <c r="H1179" s="160"/>
      <c r="I1179" s="160"/>
      <c r="J1179" s="160"/>
      <c r="K1179" s="160"/>
      <c r="L1179" s="160"/>
      <c r="M1179" s="160"/>
    </row>
    <row r="1180" spans="2:13">
      <c r="B1180" s="391"/>
      <c r="C1180" s="160"/>
      <c r="D1180" s="160"/>
      <c r="E1180" s="160"/>
      <c r="F1180" s="160"/>
      <c r="G1180" s="160"/>
      <c r="H1180" s="160"/>
      <c r="I1180" s="160"/>
      <c r="J1180" s="160"/>
      <c r="K1180" s="160"/>
      <c r="L1180" s="160"/>
      <c r="M1180" s="160"/>
    </row>
    <row r="1181" spans="2:13">
      <c r="B1181" s="391"/>
      <c r="C1181" s="160"/>
      <c r="D1181" s="160"/>
      <c r="E1181" s="160"/>
      <c r="F1181" s="160"/>
      <c r="G1181" s="160"/>
      <c r="H1181" s="160"/>
      <c r="I1181" s="160"/>
      <c r="J1181" s="160"/>
      <c r="K1181" s="160"/>
      <c r="L1181" s="160"/>
      <c r="M1181" s="160"/>
    </row>
    <row r="1182" spans="2:13">
      <c r="B1182" s="391"/>
      <c r="C1182" s="160"/>
      <c r="D1182" s="160"/>
      <c r="E1182" s="160"/>
      <c r="F1182" s="160"/>
      <c r="G1182" s="160"/>
      <c r="H1182" s="160"/>
      <c r="I1182" s="160"/>
      <c r="J1182" s="160"/>
      <c r="K1182" s="160"/>
      <c r="L1182" s="160"/>
      <c r="M1182" s="160"/>
    </row>
    <row r="1183" spans="2:13">
      <c r="B1183" s="391"/>
      <c r="C1183" s="160"/>
      <c r="D1183" s="160"/>
      <c r="E1183" s="160"/>
      <c r="F1183" s="160"/>
      <c r="G1183" s="160"/>
      <c r="H1183" s="160"/>
      <c r="I1183" s="160"/>
      <c r="J1183" s="160"/>
      <c r="K1183" s="160"/>
      <c r="L1183" s="160"/>
      <c r="M1183" s="160"/>
    </row>
    <row r="1184" spans="2:13">
      <c r="B1184" s="391"/>
      <c r="C1184" s="160"/>
      <c r="D1184" s="160"/>
      <c r="E1184" s="160"/>
      <c r="F1184" s="160"/>
      <c r="G1184" s="160"/>
      <c r="H1184" s="160"/>
      <c r="I1184" s="160"/>
      <c r="J1184" s="160"/>
      <c r="K1184" s="160"/>
      <c r="L1184" s="160"/>
      <c r="M1184" s="160"/>
    </row>
    <row r="1185" spans="2:13">
      <c r="B1185" s="391"/>
      <c r="C1185" s="160"/>
      <c r="D1185" s="160"/>
      <c r="E1185" s="160"/>
      <c r="F1185" s="160"/>
      <c r="G1185" s="160"/>
      <c r="H1185" s="160"/>
      <c r="I1185" s="160"/>
      <c r="J1185" s="160"/>
      <c r="K1185" s="160"/>
      <c r="L1185" s="160"/>
      <c r="M1185" s="160"/>
    </row>
    <row r="1186" spans="2:13">
      <c r="B1186" s="391"/>
      <c r="C1186" s="160"/>
      <c r="D1186" s="160"/>
      <c r="E1186" s="160"/>
      <c r="F1186" s="160"/>
      <c r="G1186" s="160"/>
      <c r="H1186" s="160"/>
      <c r="I1186" s="160"/>
      <c r="J1186" s="160"/>
      <c r="K1186" s="160"/>
      <c r="L1186" s="160"/>
      <c r="M1186" s="160"/>
    </row>
    <row r="1187" spans="2:13">
      <c r="B1187" s="391"/>
      <c r="C1187" s="160"/>
      <c r="D1187" s="160"/>
      <c r="E1187" s="160"/>
      <c r="F1187" s="160"/>
      <c r="G1187" s="160"/>
      <c r="H1187" s="160"/>
      <c r="I1187" s="160"/>
      <c r="J1187" s="160"/>
      <c r="K1187" s="160"/>
      <c r="L1187" s="160"/>
      <c r="M1187" s="160"/>
    </row>
    <row r="1188" spans="2:13">
      <c r="B1188" s="391"/>
      <c r="C1188" s="160"/>
      <c r="D1188" s="160"/>
      <c r="E1188" s="160"/>
      <c r="F1188" s="160"/>
      <c r="G1188" s="160"/>
      <c r="H1188" s="160"/>
      <c r="I1188" s="160"/>
      <c r="J1188" s="160"/>
      <c r="K1188" s="160"/>
      <c r="L1188" s="160"/>
      <c r="M1188" s="160"/>
    </row>
    <row r="1189" spans="2:13">
      <c r="B1189" s="391"/>
      <c r="C1189" s="160"/>
      <c r="D1189" s="160"/>
      <c r="E1189" s="160"/>
      <c r="F1189" s="160"/>
      <c r="G1189" s="160"/>
      <c r="H1189" s="160"/>
      <c r="I1189" s="160"/>
      <c r="J1189" s="160"/>
      <c r="K1189" s="160"/>
      <c r="L1189" s="160"/>
      <c r="M1189" s="160"/>
    </row>
    <row r="1190" spans="2:13">
      <c r="B1190" s="391"/>
      <c r="C1190" s="160"/>
      <c r="D1190" s="160"/>
      <c r="E1190" s="160"/>
      <c r="F1190" s="160"/>
      <c r="G1190" s="160"/>
      <c r="H1190" s="160"/>
      <c r="I1190" s="160"/>
      <c r="J1190" s="160"/>
      <c r="K1190" s="160"/>
      <c r="L1190" s="160"/>
      <c r="M1190" s="160"/>
    </row>
    <row r="1191" spans="2:13">
      <c r="B1191" s="391"/>
      <c r="C1191" s="160"/>
      <c r="D1191" s="160"/>
      <c r="E1191" s="160"/>
      <c r="F1191" s="160"/>
      <c r="G1191" s="160"/>
      <c r="H1191" s="160"/>
      <c r="I1191" s="160"/>
      <c r="J1191" s="160"/>
      <c r="K1191" s="160"/>
      <c r="L1191" s="160"/>
      <c r="M1191" s="160"/>
    </row>
    <row r="1192" spans="2:13">
      <c r="B1192" s="391"/>
      <c r="C1192" s="160"/>
      <c r="D1192" s="160"/>
      <c r="E1192" s="160"/>
      <c r="F1192" s="160"/>
      <c r="G1192" s="160"/>
      <c r="H1192" s="160"/>
      <c r="I1192" s="160"/>
      <c r="J1192" s="160"/>
      <c r="K1192" s="160"/>
      <c r="L1192" s="160"/>
      <c r="M1192" s="160"/>
    </row>
    <row r="1193" spans="2:13">
      <c r="B1193" s="391"/>
      <c r="C1193" s="160"/>
      <c r="D1193" s="160"/>
      <c r="E1193" s="160"/>
      <c r="F1193" s="160"/>
      <c r="G1193" s="160"/>
      <c r="H1193" s="160"/>
      <c r="I1193" s="160"/>
      <c r="J1193" s="160"/>
      <c r="K1193" s="160"/>
      <c r="L1193" s="160"/>
      <c r="M1193" s="160"/>
    </row>
    <row r="1194" spans="2:13">
      <c r="B1194" s="391"/>
      <c r="C1194" s="160"/>
      <c r="D1194" s="160"/>
      <c r="E1194" s="160"/>
      <c r="F1194" s="160"/>
      <c r="G1194" s="160"/>
      <c r="H1194" s="160"/>
      <c r="I1194" s="160"/>
      <c r="J1194" s="160"/>
      <c r="K1194" s="160"/>
      <c r="L1194" s="160"/>
      <c r="M1194" s="160"/>
    </row>
    <row r="1195" spans="2:13">
      <c r="B1195" s="391"/>
      <c r="C1195" s="160"/>
      <c r="D1195" s="160"/>
      <c r="E1195" s="160"/>
      <c r="F1195" s="160"/>
      <c r="G1195" s="160"/>
      <c r="H1195" s="160"/>
      <c r="I1195" s="160"/>
      <c r="J1195" s="160"/>
      <c r="K1195" s="160"/>
      <c r="L1195" s="160"/>
      <c r="M1195" s="160"/>
    </row>
    <row r="1196" spans="2:13">
      <c r="B1196" s="391"/>
      <c r="C1196" s="160"/>
      <c r="D1196" s="160"/>
      <c r="E1196" s="160"/>
      <c r="F1196" s="160"/>
      <c r="G1196" s="160"/>
      <c r="H1196" s="160"/>
      <c r="I1196" s="160"/>
      <c r="J1196" s="160"/>
      <c r="K1196" s="160"/>
      <c r="L1196" s="160"/>
      <c r="M1196" s="160"/>
    </row>
    <row r="1197" spans="2:13">
      <c r="B1197" s="391"/>
      <c r="C1197" s="160"/>
      <c r="D1197" s="160"/>
      <c r="E1197" s="160"/>
      <c r="F1197" s="160"/>
      <c r="G1197" s="160"/>
      <c r="H1197" s="160"/>
      <c r="I1197" s="160"/>
      <c r="J1197" s="160"/>
      <c r="K1197" s="160"/>
      <c r="L1197" s="160"/>
      <c r="M1197" s="160"/>
    </row>
    <row r="1198" spans="2:13">
      <c r="B1198" s="391"/>
      <c r="C1198" s="160"/>
      <c r="D1198" s="160"/>
      <c r="E1198" s="160"/>
      <c r="F1198" s="160"/>
      <c r="G1198" s="160"/>
      <c r="H1198" s="160"/>
      <c r="I1198" s="160"/>
      <c r="J1198" s="160"/>
      <c r="K1198" s="160"/>
      <c r="L1198" s="160"/>
      <c r="M1198" s="160"/>
    </row>
    <row r="1199" spans="2:13">
      <c r="B1199" s="391"/>
      <c r="C1199" s="160"/>
      <c r="D1199" s="160"/>
      <c r="E1199" s="160"/>
      <c r="F1199" s="160"/>
      <c r="G1199" s="160"/>
      <c r="H1199" s="160"/>
      <c r="I1199" s="160"/>
      <c r="J1199" s="160"/>
      <c r="K1199" s="160"/>
      <c r="L1199" s="160"/>
      <c r="M1199" s="160"/>
    </row>
    <row r="1200" spans="2:13">
      <c r="B1200" s="391"/>
      <c r="C1200" s="160"/>
      <c r="D1200" s="160"/>
      <c r="E1200" s="160"/>
      <c r="F1200" s="160"/>
      <c r="G1200" s="160"/>
      <c r="H1200" s="160"/>
      <c r="I1200" s="160"/>
      <c r="J1200" s="160"/>
      <c r="K1200" s="160"/>
      <c r="L1200" s="160"/>
      <c r="M1200" s="160"/>
    </row>
    <row r="1201" spans="2:13">
      <c r="B1201" s="391"/>
      <c r="C1201" s="160"/>
      <c r="D1201" s="160"/>
      <c r="E1201" s="160"/>
      <c r="F1201" s="160"/>
      <c r="G1201" s="160"/>
      <c r="H1201" s="160"/>
      <c r="I1201" s="160"/>
      <c r="J1201" s="160"/>
      <c r="K1201" s="160"/>
      <c r="L1201" s="160"/>
      <c r="M1201" s="160"/>
    </row>
    <row r="1202" spans="2:13">
      <c r="B1202" s="391"/>
      <c r="C1202" s="160"/>
      <c r="D1202" s="160"/>
      <c r="E1202" s="160"/>
      <c r="F1202" s="160"/>
      <c r="G1202" s="160"/>
      <c r="H1202" s="160"/>
      <c r="I1202" s="160"/>
      <c r="J1202" s="160"/>
      <c r="K1202" s="160"/>
      <c r="L1202" s="160"/>
      <c r="M1202" s="160"/>
    </row>
    <row r="1203" spans="2:13">
      <c r="B1203" s="391"/>
      <c r="C1203" s="160"/>
      <c r="D1203" s="160"/>
      <c r="E1203" s="160"/>
      <c r="F1203" s="160"/>
      <c r="G1203" s="160"/>
      <c r="H1203" s="160"/>
      <c r="I1203" s="160"/>
      <c r="J1203" s="160"/>
      <c r="K1203" s="160"/>
      <c r="L1203" s="160"/>
      <c r="M1203" s="160"/>
    </row>
    <row r="1204" spans="2:13">
      <c r="B1204" s="391"/>
      <c r="C1204" s="160"/>
      <c r="D1204" s="160"/>
      <c r="E1204" s="160"/>
      <c r="F1204" s="160"/>
      <c r="G1204" s="160"/>
      <c r="H1204" s="160"/>
      <c r="I1204" s="160"/>
      <c r="J1204" s="160"/>
      <c r="K1204" s="160"/>
      <c r="L1204" s="160"/>
      <c r="M1204" s="160"/>
    </row>
    <row r="1205" spans="2:13">
      <c r="B1205" s="391"/>
      <c r="C1205" s="160"/>
      <c r="D1205" s="160"/>
      <c r="E1205" s="160"/>
      <c r="F1205" s="160"/>
      <c r="G1205" s="160"/>
      <c r="H1205" s="160"/>
      <c r="I1205" s="160"/>
      <c r="J1205" s="160"/>
      <c r="K1205" s="160"/>
      <c r="L1205" s="160"/>
      <c r="M1205" s="160"/>
    </row>
    <row r="1206" spans="2:13">
      <c r="B1206" s="391"/>
      <c r="C1206" s="160"/>
      <c r="D1206" s="160"/>
      <c r="E1206" s="160"/>
      <c r="F1206" s="160"/>
      <c r="G1206" s="160"/>
      <c r="H1206" s="160"/>
      <c r="I1206" s="160"/>
      <c r="J1206" s="160"/>
      <c r="K1206" s="160"/>
      <c r="L1206" s="160"/>
      <c r="M1206" s="160"/>
    </row>
    <row r="1207" spans="2:13">
      <c r="B1207" s="391"/>
      <c r="C1207" s="160"/>
      <c r="D1207" s="160"/>
      <c r="E1207" s="160"/>
      <c r="F1207" s="160"/>
      <c r="G1207" s="160"/>
      <c r="H1207" s="160"/>
      <c r="I1207" s="160"/>
      <c r="J1207" s="160"/>
      <c r="K1207" s="160"/>
      <c r="L1207" s="160"/>
      <c r="M1207" s="160"/>
    </row>
    <row r="1208" spans="2:13">
      <c r="B1208" s="391"/>
      <c r="C1208" s="160"/>
      <c r="D1208" s="160"/>
      <c r="E1208" s="160"/>
      <c r="F1208" s="160"/>
      <c r="G1208" s="160"/>
      <c r="H1208" s="160"/>
      <c r="I1208" s="160"/>
      <c r="J1208" s="160"/>
      <c r="K1208" s="160"/>
      <c r="L1208" s="160"/>
      <c r="M1208" s="160"/>
    </row>
    <row r="1209" spans="2:13">
      <c r="B1209" s="391"/>
      <c r="C1209" s="160"/>
      <c r="D1209" s="160"/>
      <c r="E1209" s="160"/>
      <c r="F1209" s="160"/>
      <c r="G1209" s="160"/>
      <c r="H1209" s="160"/>
      <c r="I1209" s="160"/>
      <c r="J1209" s="160"/>
      <c r="K1209" s="160"/>
      <c r="L1209" s="160"/>
      <c r="M1209" s="160"/>
    </row>
    <row r="1210" spans="2:13">
      <c r="B1210" s="391"/>
      <c r="C1210" s="160"/>
      <c r="D1210" s="160"/>
      <c r="E1210" s="160"/>
      <c r="F1210" s="160"/>
      <c r="G1210" s="160"/>
      <c r="H1210" s="160"/>
      <c r="I1210" s="160"/>
      <c r="J1210" s="160"/>
      <c r="K1210" s="160"/>
      <c r="L1210" s="160"/>
      <c r="M1210" s="160"/>
    </row>
    <row r="1211" spans="2:13">
      <c r="B1211" s="391"/>
      <c r="C1211" s="160"/>
      <c r="D1211" s="160"/>
      <c r="E1211" s="160"/>
      <c r="F1211" s="160"/>
      <c r="G1211" s="160"/>
      <c r="H1211" s="160"/>
      <c r="I1211" s="160"/>
      <c r="J1211" s="160"/>
      <c r="K1211" s="160"/>
      <c r="L1211" s="160"/>
      <c r="M1211" s="160"/>
    </row>
    <row r="1212" spans="2:13">
      <c r="B1212" s="391"/>
      <c r="C1212" s="160"/>
      <c r="D1212" s="160"/>
      <c r="E1212" s="160"/>
      <c r="F1212" s="160"/>
      <c r="G1212" s="160"/>
      <c r="H1212" s="160"/>
      <c r="I1212" s="160"/>
      <c r="J1212" s="160"/>
      <c r="K1212" s="160"/>
      <c r="L1212" s="160"/>
      <c r="M1212" s="160"/>
    </row>
    <row r="1213" spans="2:13">
      <c r="B1213" s="391"/>
      <c r="C1213" s="160"/>
      <c r="D1213" s="160"/>
      <c r="E1213" s="160"/>
      <c r="F1213" s="160"/>
      <c r="G1213" s="160"/>
      <c r="H1213" s="160"/>
      <c r="I1213" s="160"/>
      <c r="J1213" s="160"/>
      <c r="K1213" s="160"/>
      <c r="L1213" s="160"/>
      <c r="M1213" s="160"/>
    </row>
    <row r="1214" spans="2:13">
      <c r="B1214" s="391"/>
      <c r="C1214" s="160"/>
      <c r="D1214" s="160"/>
      <c r="E1214" s="160"/>
      <c r="F1214" s="160"/>
      <c r="G1214" s="160"/>
      <c r="H1214" s="160"/>
      <c r="I1214" s="160"/>
      <c r="J1214" s="160"/>
      <c r="K1214" s="160"/>
      <c r="L1214" s="160"/>
      <c r="M1214" s="160"/>
    </row>
    <row r="1215" spans="2:13">
      <c r="B1215" s="391"/>
      <c r="C1215" s="160"/>
      <c r="D1215" s="160"/>
      <c r="E1215" s="160"/>
      <c r="F1215" s="160"/>
      <c r="G1215" s="160"/>
      <c r="H1215" s="160"/>
      <c r="I1215" s="160"/>
      <c r="J1215" s="160"/>
      <c r="K1215" s="160"/>
      <c r="L1215" s="160"/>
      <c r="M1215" s="160"/>
    </row>
    <row r="1216" spans="2:13">
      <c r="B1216" s="391"/>
      <c r="C1216" s="160"/>
      <c r="D1216" s="160"/>
      <c r="E1216" s="160"/>
      <c r="F1216" s="160"/>
      <c r="G1216" s="160"/>
      <c r="H1216" s="160"/>
      <c r="I1216" s="160"/>
      <c r="J1216" s="160"/>
      <c r="K1216" s="160"/>
      <c r="L1216" s="160"/>
      <c r="M1216" s="160"/>
    </row>
    <row r="1217" spans="2:13">
      <c r="B1217" s="391"/>
      <c r="C1217" s="160"/>
      <c r="D1217" s="160"/>
      <c r="E1217" s="160"/>
      <c r="F1217" s="160"/>
      <c r="G1217" s="160"/>
      <c r="H1217" s="160"/>
      <c r="I1217" s="160"/>
      <c r="J1217" s="160"/>
      <c r="K1217" s="160"/>
      <c r="L1217" s="160"/>
      <c r="M1217" s="160"/>
    </row>
    <row r="1218" spans="2:13">
      <c r="B1218" s="391"/>
      <c r="C1218" s="160"/>
      <c r="D1218" s="160"/>
      <c r="E1218" s="160"/>
      <c r="F1218" s="160"/>
      <c r="G1218" s="160"/>
      <c r="H1218" s="160"/>
      <c r="I1218" s="160"/>
      <c r="J1218" s="160"/>
      <c r="K1218" s="160"/>
      <c r="L1218" s="160"/>
      <c r="M1218" s="160"/>
    </row>
    <row r="1219" spans="2:13">
      <c r="B1219" s="391"/>
      <c r="C1219" s="160"/>
      <c r="D1219" s="160"/>
      <c r="E1219" s="160"/>
      <c r="F1219" s="160"/>
      <c r="G1219" s="160"/>
      <c r="H1219" s="160"/>
      <c r="I1219" s="160"/>
      <c r="J1219" s="160"/>
      <c r="K1219" s="160"/>
      <c r="L1219" s="160"/>
      <c r="M1219" s="160"/>
    </row>
    <row r="1220" spans="2:13">
      <c r="B1220" s="391"/>
      <c r="C1220" s="160"/>
      <c r="D1220" s="160"/>
      <c r="E1220" s="160"/>
      <c r="F1220" s="160"/>
      <c r="G1220" s="160"/>
      <c r="H1220" s="160"/>
      <c r="I1220" s="160"/>
      <c r="J1220" s="160"/>
      <c r="K1220" s="160"/>
      <c r="L1220" s="160"/>
      <c r="M1220" s="160"/>
    </row>
    <row r="1221" spans="2:13">
      <c r="B1221" s="391"/>
      <c r="C1221" s="160"/>
      <c r="D1221" s="160"/>
      <c r="E1221" s="160"/>
      <c r="F1221" s="160"/>
      <c r="G1221" s="160"/>
      <c r="H1221" s="160"/>
      <c r="I1221" s="160"/>
      <c r="J1221" s="160"/>
      <c r="K1221" s="160"/>
      <c r="L1221" s="160"/>
      <c r="M1221" s="160"/>
    </row>
    <row r="1222" spans="2:13">
      <c r="B1222" s="391"/>
      <c r="C1222" s="160"/>
      <c r="D1222" s="160"/>
      <c r="E1222" s="160"/>
      <c r="F1222" s="160"/>
      <c r="G1222" s="160"/>
      <c r="H1222" s="160"/>
      <c r="I1222" s="160"/>
      <c r="J1222" s="160"/>
      <c r="K1222" s="160"/>
      <c r="L1222" s="160"/>
      <c r="M1222" s="160"/>
    </row>
    <row r="1223" spans="2:13">
      <c r="B1223" s="391"/>
      <c r="C1223" s="160"/>
      <c r="D1223" s="160"/>
      <c r="E1223" s="160"/>
      <c r="F1223" s="160"/>
      <c r="G1223" s="160"/>
      <c r="H1223" s="160"/>
      <c r="I1223" s="160"/>
      <c r="J1223" s="160"/>
      <c r="K1223" s="160"/>
      <c r="L1223" s="160"/>
      <c r="M1223" s="160"/>
    </row>
    <row r="1224" spans="2:13">
      <c r="B1224" s="391"/>
      <c r="C1224" s="160"/>
      <c r="D1224" s="160"/>
      <c r="E1224" s="160"/>
      <c r="F1224" s="160"/>
      <c r="G1224" s="160"/>
      <c r="H1224" s="160"/>
      <c r="I1224" s="160"/>
      <c r="J1224" s="160"/>
      <c r="K1224" s="160"/>
      <c r="L1224" s="160"/>
      <c r="M1224" s="160"/>
    </row>
    <row r="1225" spans="2:13">
      <c r="B1225" s="391"/>
      <c r="C1225" s="160"/>
      <c r="D1225" s="160"/>
      <c r="E1225" s="160"/>
      <c r="F1225" s="160"/>
      <c r="G1225" s="160"/>
      <c r="H1225" s="160"/>
      <c r="I1225" s="160"/>
      <c r="J1225" s="160"/>
      <c r="K1225" s="160"/>
      <c r="L1225" s="160"/>
      <c r="M1225" s="160"/>
    </row>
    <row r="1226" spans="2:13">
      <c r="B1226" s="391"/>
      <c r="C1226" s="160"/>
      <c r="D1226" s="160"/>
      <c r="E1226" s="160"/>
      <c r="F1226" s="160"/>
      <c r="G1226" s="160"/>
      <c r="H1226" s="160"/>
      <c r="I1226" s="160"/>
      <c r="J1226" s="160"/>
      <c r="K1226" s="160"/>
      <c r="L1226" s="160"/>
      <c r="M1226" s="160"/>
    </row>
    <row r="1227" spans="2:13">
      <c r="B1227" s="391"/>
      <c r="C1227" s="160"/>
      <c r="D1227" s="160"/>
      <c r="E1227" s="160"/>
      <c r="F1227" s="160"/>
      <c r="G1227" s="160"/>
      <c r="H1227" s="160"/>
      <c r="I1227" s="160"/>
      <c r="J1227" s="160"/>
      <c r="K1227" s="160"/>
      <c r="L1227" s="160"/>
      <c r="M1227" s="160"/>
    </row>
    <row r="1228" spans="2:13">
      <c r="I1228" s="160"/>
      <c r="J1228" s="160"/>
    </row>
  </sheetData>
  <mergeCells count="23">
    <mergeCell ref="G249:H249"/>
    <mergeCell ref="G231:H231"/>
    <mergeCell ref="D281:K282"/>
    <mergeCell ref="D350:J350"/>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4" zoomScaleNormal="100" workbookViewId="0">
      <selection activeCell="I21" sqref="I21"/>
    </sheetView>
  </sheetViews>
  <sheetFormatPr defaultRowHeight="15"/>
  <cols>
    <col min="1" max="1" width="9.42578125" style="509" customWidth="1"/>
    <col min="2" max="2" width="6.7109375" style="509" customWidth="1"/>
    <col min="3" max="7" width="12.7109375" style="509" customWidth="1"/>
    <col min="8" max="8" width="19.28515625" style="509" customWidth="1"/>
    <col min="9" max="9" width="15" style="509" bestFit="1" customWidth="1"/>
    <col min="10" max="11" width="16.5703125" style="509" bestFit="1" customWidth="1"/>
    <col min="12" max="13" width="22.140625" style="509" bestFit="1" customWidth="1"/>
    <col min="14" max="14" width="8.42578125" style="509" customWidth="1"/>
    <col min="15" max="38" width="12.7109375" style="509" customWidth="1"/>
    <col min="39" max="16384" width="9.140625" style="509"/>
  </cols>
  <sheetData>
    <row r="1" spans="1:22" ht="15.75">
      <c r="A1" s="995" t="s">
        <v>416</v>
      </c>
    </row>
    <row r="2" spans="1:22" ht="15.75">
      <c r="A2" s="995" t="s">
        <v>416</v>
      </c>
    </row>
    <row r="3" spans="1:22">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c r="I3" s="1497" t="str">
        <f>TCOS!$F$5</f>
        <v>AEPTCo subsidiaries in PJM</v>
      </c>
      <c r="J3" s="1497" t="str">
        <f>TCOS!$F$5</f>
        <v>AEPTCo subsidiaries in PJM</v>
      </c>
      <c r="K3" s="1497" t="str">
        <f>TCOS!$F$5</f>
        <v>AEPTCo subsidiaries in PJM</v>
      </c>
      <c r="L3" s="413"/>
      <c r="M3" s="413"/>
      <c r="N3" s="413"/>
      <c r="O3" s="413"/>
    </row>
    <row r="4" spans="1:22">
      <c r="A4" s="1528" t="str">
        <f>"Cost of Service Formula Rate Using Actual/Projected FF1 Balances"</f>
        <v>Cost of Service Formula Rate Using Actual/Projected FF1 Balances</v>
      </c>
      <c r="B4" s="1528"/>
      <c r="C4" s="1528"/>
      <c r="D4" s="1528"/>
      <c r="E4" s="1528"/>
      <c r="F4" s="1528"/>
      <c r="G4" s="1528"/>
      <c r="H4" s="1528"/>
      <c r="I4" s="1528"/>
      <c r="J4" s="1528"/>
      <c r="K4" s="1528"/>
      <c r="L4" s="433"/>
      <c r="M4" s="433"/>
      <c r="N4" s="433"/>
      <c r="O4" s="433"/>
    </row>
    <row r="5" spans="1:22">
      <c r="A5" s="1528" t="s">
        <v>24</v>
      </c>
      <c r="B5" s="1528"/>
      <c r="C5" s="1528"/>
      <c r="D5" s="1528"/>
      <c r="E5" s="1528"/>
      <c r="F5" s="1528"/>
      <c r="G5" s="1528"/>
      <c r="H5" s="1528"/>
      <c r="I5" s="1528"/>
      <c r="J5" s="1528"/>
      <c r="K5" s="1528"/>
      <c r="L5" s="415"/>
      <c r="M5" s="415"/>
      <c r="N5" s="415"/>
      <c r="O5" s="415"/>
    </row>
    <row r="6" spans="1:22">
      <c r="A6" s="1529" t="str">
        <f>TCOS!F9</f>
        <v>AEP Indiana Michigan Transmission Company</v>
      </c>
      <c r="B6" s="1529"/>
      <c r="C6" s="1529"/>
      <c r="D6" s="1529"/>
      <c r="E6" s="1529"/>
      <c r="F6" s="1529"/>
      <c r="G6" s="1529"/>
      <c r="H6" s="1529"/>
      <c r="I6" s="1529"/>
      <c r="J6" s="1529"/>
      <c r="K6" s="1529"/>
      <c r="L6" s="168"/>
      <c r="M6" s="168"/>
      <c r="N6" s="168"/>
      <c r="O6" s="168"/>
    </row>
    <row r="7" spans="1:22">
      <c r="A7" s="510"/>
      <c r="B7" s="510"/>
      <c r="C7" s="510"/>
      <c r="D7" s="510"/>
      <c r="E7" s="510"/>
      <c r="F7" s="510"/>
      <c r="G7" s="510"/>
      <c r="H7" s="510"/>
      <c r="I7" s="510"/>
      <c r="J7" s="510"/>
      <c r="K7" s="510"/>
      <c r="L7" s="510"/>
      <c r="M7" s="510"/>
      <c r="N7" s="510"/>
      <c r="O7" s="510"/>
    </row>
    <row r="8" spans="1:22" ht="18">
      <c r="A8" s="1540"/>
      <c r="B8" s="1540"/>
      <c r="C8" s="1540"/>
      <c r="D8" s="1540"/>
      <c r="E8" s="1540"/>
      <c r="F8" s="1540"/>
      <c r="G8" s="1540"/>
      <c r="H8" s="1540"/>
      <c r="I8" s="1540"/>
      <c r="J8" s="1540"/>
      <c r="K8" s="1540"/>
      <c r="L8" s="512"/>
      <c r="M8" s="513"/>
    </row>
    <row r="9" spans="1:22" ht="18">
      <c r="A9" s="511"/>
      <c r="B9" s="511"/>
      <c r="C9" s="511"/>
      <c r="D9" s="511"/>
      <c r="E9" s="511"/>
      <c r="F9" s="511"/>
      <c r="G9" s="511"/>
      <c r="H9" s="511"/>
      <c r="I9" s="511"/>
      <c r="J9" s="511"/>
      <c r="K9" s="511"/>
      <c r="L9" s="512"/>
      <c r="M9" s="513"/>
    </row>
    <row r="10" spans="1:22" ht="15.75">
      <c r="A10" s="514" t="s">
        <v>469</v>
      </c>
      <c r="B10" s="512"/>
      <c r="C10" s="515"/>
      <c r="D10" s="515"/>
      <c r="E10" s="515"/>
      <c r="F10" s="515"/>
      <c r="G10" s="516"/>
      <c r="H10" s="516"/>
      <c r="I10" s="514" t="s">
        <v>482</v>
      </c>
      <c r="J10" s="514" t="s">
        <v>365</v>
      </c>
      <c r="K10" s="517"/>
      <c r="N10" s="518"/>
      <c r="P10" s="518"/>
      <c r="R10" s="518"/>
      <c r="S10" s="518"/>
      <c r="T10" s="518"/>
      <c r="U10" s="386"/>
      <c r="V10" s="386"/>
    </row>
    <row r="11" spans="1:22" ht="15.75">
      <c r="A11" s="514" t="s">
        <v>407</v>
      </c>
      <c r="B11" s="1541" t="s">
        <v>467</v>
      </c>
      <c r="C11" s="1541"/>
      <c r="D11" s="1541"/>
      <c r="E11" s="1541"/>
      <c r="F11" s="1541"/>
      <c r="G11" s="1541"/>
      <c r="H11" s="1541"/>
      <c r="I11" s="519" t="s">
        <v>483</v>
      </c>
      <c r="J11" s="519" t="s">
        <v>417</v>
      </c>
      <c r="K11" s="519" t="s">
        <v>417</v>
      </c>
      <c r="N11" s="518"/>
      <c r="O11" s="518"/>
      <c r="P11" s="518"/>
      <c r="Q11" s="518"/>
      <c r="R11" s="518"/>
      <c r="S11" s="518"/>
      <c r="T11" s="520"/>
      <c r="U11" s="386"/>
      <c r="V11" s="386"/>
    </row>
    <row r="12" spans="1:22" ht="15.75">
      <c r="A12" s="516"/>
      <c r="B12" s="521"/>
      <c r="C12" s="512"/>
      <c r="D12" s="516"/>
      <c r="E12" s="516"/>
      <c r="F12" s="516"/>
      <c r="G12" s="516"/>
      <c r="H12" s="516"/>
      <c r="I12" s="516"/>
      <c r="J12" s="516"/>
      <c r="K12" s="522"/>
      <c r="N12" s="518"/>
      <c r="O12" s="518"/>
      <c r="P12" s="518"/>
      <c r="Q12" s="518"/>
      <c r="R12" s="518"/>
      <c r="S12" s="518"/>
      <c r="T12" s="520"/>
      <c r="U12" s="386"/>
      <c r="V12" s="386"/>
    </row>
    <row r="13" spans="1:22" s="525" customFormat="1" ht="12.75">
      <c r="A13" s="523">
        <v>1</v>
      </c>
      <c r="B13" s="524" t="s">
        <v>11</v>
      </c>
      <c r="D13" s="526"/>
      <c r="E13" s="526"/>
      <c r="F13" s="527"/>
      <c r="G13" s="526"/>
      <c r="H13" s="526"/>
      <c r="I13" s="549"/>
      <c r="J13" s="528">
        <f>+I13-K13</f>
        <v>0</v>
      </c>
      <c r="K13" s="549"/>
      <c r="N13" s="308"/>
      <c r="O13" s="308"/>
      <c r="P13" s="308"/>
      <c r="Q13" s="308"/>
      <c r="R13" s="308"/>
      <c r="S13" s="308"/>
      <c r="T13" s="529"/>
      <c r="U13" s="308"/>
      <c r="V13" s="308"/>
    </row>
    <row r="14" spans="1:22" s="525" customFormat="1" ht="12.75">
      <c r="A14" s="523"/>
      <c r="B14" s="524"/>
      <c r="D14" s="526"/>
      <c r="E14" s="526"/>
      <c r="F14" s="527"/>
      <c r="G14" s="526"/>
      <c r="H14" s="526"/>
      <c r="I14" s="530"/>
      <c r="J14" s="531"/>
      <c r="K14" s="531"/>
      <c r="N14" s="308"/>
      <c r="O14" s="308"/>
      <c r="P14" s="308"/>
      <c r="Q14" s="308"/>
      <c r="R14" s="308"/>
      <c r="S14" s="308"/>
      <c r="T14" s="529"/>
      <c r="U14" s="308"/>
      <c r="V14" s="308"/>
    </row>
    <row r="15" spans="1:22" s="525" customFormat="1" ht="12.75">
      <c r="A15" s="523">
        <f>+A13+1</f>
        <v>2</v>
      </c>
      <c r="B15" s="532" t="s">
        <v>12</v>
      </c>
      <c r="D15" s="526"/>
      <c r="E15" s="526"/>
      <c r="F15" s="527"/>
      <c r="G15" s="526"/>
      <c r="H15" s="527"/>
      <c r="I15" s="549"/>
      <c r="J15" s="528">
        <f>+I15-K15</f>
        <v>0</v>
      </c>
      <c r="K15" s="549"/>
      <c r="N15" s="308"/>
      <c r="O15" s="308"/>
      <c r="P15" s="308"/>
      <c r="Q15" s="308"/>
      <c r="R15" s="308"/>
      <c r="S15" s="308"/>
      <c r="T15" s="308"/>
      <c r="U15" s="308"/>
      <c r="V15" s="308"/>
    </row>
    <row r="16" spans="1:22" s="525" customFormat="1" ht="12.75">
      <c r="A16" s="523"/>
      <c r="B16" s="532"/>
      <c r="D16" s="526"/>
      <c r="E16" s="526"/>
      <c r="F16" s="527"/>
      <c r="G16" s="526"/>
      <c r="H16" s="527"/>
      <c r="I16" s="531"/>
      <c r="J16" s="531"/>
      <c r="K16" s="533"/>
      <c r="N16" s="308"/>
      <c r="O16" s="308"/>
      <c r="P16" s="308"/>
      <c r="Q16" s="308"/>
      <c r="R16" s="308"/>
      <c r="S16" s="308"/>
      <c r="T16" s="308"/>
      <c r="U16" s="308"/>
      <c r="V16" s="308"/>
    </row>
    <row r="17" spans="1:22" s="525" customFormat="1" ht="12.75">
      <c r="A17" s="523">
        <f>+A15+1</f>
        <v>3</v>
      </c>
      <c r="B17" s="532" t="s">
        <v>13</v>
      </c>
      <c r="D17" s="526"/>
      <c r="E17" s="526"/>
      <c r="F17" s="527"/>
      <c r="G17" s="526"/>
      <c r="H17" s="526"/>
      <c r="I17" s="549">
        <v>1139491.716</v>
      </c>
      <c r="J17" s="528">
        <f>+I17-K17</f>
        <v>0</v>
      </c>
      <c r="K17" s="549">
        <f>I17</f>
        <v>1139491.716</v>
      </c>
      <c r="N17" s="308"/>
      <c r="O17" s="308"/>
      <c r="P17" s="308"/>
      <c r="Q17" s="308"/>
      <c r="R17" s="308"/>
      <c r="S17" s="308"/>
      <c r="T17" s="308"/>
      <c r="U17" s="308"/>
      <c r="V17" s="308"/>
    </row>
    <row r="18" spans="1:22" s="525" customFormat="1" ht="12.75">
      <c r="A18" s="523"/>
      <c r="B18" s="527"/>
      <c r="D18" s="526"/>
      <c r="E18" s="526"/>
      <c r="F18" s="527"/>
      <c r="G18" s="533"/>
      <c r="H18" s="527"/>
      <c r="I18" s="531"/>
      <c r="J18" s="531"/>
      <c r="K18" s="531"/>
      <c r="N18" s="308"/>
      <c r="O18" s="308"/>
      <c r="P18" s="308"/>
      <c r="Q18" s="308"/>
      <c r="R18" s="308"/>
      <c r="S18" s="308"/>
      <c r="T18" s="308"/>
      <c r="U18" s="308"/>
      <c r="V18" s="308"/>
    </row>
    <row r="19" spans="1:22" s="525" customFormat="1" ht="12.75">
      <c r="A19" s="991">
        <v>4</v>
      </c>
      <c r="B19" s="1239" t="s">
        <v>770</v>
      </c>
      <c r="C19" s="341"/>
      <c r="D19" s="1240"/>
      <c r="E19" s="1240"/>
      <c r="F19" s="1240"/>
      <c r="G19" s="992"/>
      <c r="H19" s="1240"/>
      <c r="I19" s="549"/>
      <c r="J19" s="528">
        <f>+I19-K19</f>
        <v>0</v>
      </c>
      <c r="K19" s="549"/>
      <c r="N19" s="535"/>
      <c r="O19" s="308"/>
      <c r="P19" s="308"/>
      <c r="Q19" s="308"/>
      <c r="R19" s="308"/>
      <c r="S19" s="308"/>
      <c r="T19" s="308"/>
      <c r="U19" s="308"/>
      <c r="V19" s="308"/>
    </row>
    <row r="20" spans="1:22" s="525" customFormat="1" ht="12.75">
      <c r="A20" s="991"/>
      <c r="B20" s="1239"/>
      <c r="C20" s="341"/>
      <c r="D20" s="1240"/>
      <c r="E20" s="1240"/>
      <c r="F20" s="1240"/>
      <c r="G20" s="992"/>
      <c r="H20" s="1240"/>
      <c r="I20" s="308"/>
      <c r="J20" s="308"/>
      <c r="K20" s="308"/>
      <c r="L20" s="308"/>
      <c r="N20" s="535"/>
      <c r="O20" s="308"/>
      <c r="P20" s="308"/>
      <c r="Q20" s="308"/>
      <c r="R20" s="308"/>
      <c r="S20" s="308"/>
      <c r="T20" s="308"/>
      <c r="U20" s="308"/>
      <c r="V20" s="308"/>
    </row>
    <row r="21" spans="1:22" s="525" customFormat="1" ht="12.75">
      <c r="A21" s="991">
        <v>5</v>
      </c>
      <c r="B21" s="1239" t="s">
        <v>771</v>
      </c>
      <c r="C21" s="341"/>
      <c r="D21" s="1240"/>
      <c r="E21" s="1240"/>
      <c r="F21" s="1240"/>
      <c r="G21" s="992"/>
      <c r="H21" s="1240"/>
      <c r="I21" s="549">
        <v>431788688.42000002</v>
      </c>
      <c r="J21" s="528">
        <f>+I21-K21</f>
        <v>431788688.42000002</v>
      </c>
      <c r="K21" s="549"/>
      <c r="N21" s="535"/>
      <c r="O21" s="308"/>
      <c r="P21" s="308"/>
      <c r="Q21" s="308"/>
      <c r="R21" s="308"/>
      <c r="S21" s="308"/>
      <c r="T21" s="308"/>
      <c r="U21" s="308"/>
      <c r="V21" s="308"/>
    </row>
    <row r="22" spans="1:22" s="525" customFormat="1" ht="12.75">
      <c r="A22" s="991"/>
      <c r="B22" s="1239"/>
      <c r="C22" s="341"/>
      <c r="D22" s="1240"/>
      <c r="E22" s="1240"/>
      <c r="F22" s="1240"/>
      <c r="G22" s="992"/>
      <c r="H22" s="1240"/>
      <c r="I22" s="549"/>
      <c r="J22" s="528"/>
      <c r="K22" s="549"/>
      <c r="N22" s="535"/>
      <c r="O22" s="308"/>
      <c r="P22" s="308"/>
      <c r="Q22" s="308"/>
      <c r="R22" s="308"/>
      <c r="S22" s="308"/>
      <c r="T22" s="308"/>
      <c r="U22" s="308"/>
      <c r="V22" s="308"/>
    </row>
    <row r="23" spans="1:22" s="525" customFormat="1" ht="12.75">
      <c r="A23" s="991" t="s">
        <v>627</v>
      </c>
      <c r="B23" s="1239" t="s">
        <v>628</v>
      </c>
      <c r="C23" s="341"/>
      <c r="D23" s="1240"/>
      <c r="E23" s="1240"/>
      <c r="F23" s="1240"/>
      <c r="G23" s="992"/>
      <c r="H23" s="1240"/>
      <c r="I23" s="993"/>
      <c r="J23" s="994">
        <v>0</v>
      </c>
      <c r="K23" s="993"/>
      <c r="N23" s="535"/>
      <c r="O23" s="308"/>
      <c r="P23" s="308"/>
      <c r="Q23" s="308"/>
      <c r="R23" s="308"/>
      <c r="S23" s="308"/>
      <c r="T23" s="308"/>
      <c r="U23" s="308"/>
      <c r="V23" s="308"/>
    </row>
    <row r="24" spans="1:22" s="525" customFormat="1" ht="12.75">
      <c r="A24" s="991"/>
      <c r="B24" s="1239"/>
      <c r="C24" s="341"/>
      <c r="D24" s="1240"/>
      <c r="E24" s="1240"/>
      <c r="F24" s="1240"/>
      <c r="G24" s="992"/>
      <c r="H24" s="1240"/>
      <c r="I24" s="993"/>
      <c r="J24" s="994"/>
      <c r="K24" s="993"/>
      <c r="N24" s="535"/>
      <c r="O24" s="308"/>
      <c r="P24" s="308"/>
      <c r="Q24" s="308"/>
      <c r="R24" s="308"/>
      <c r="S24" s="308"/>
      <c r="T24" s="308"/>
      <c r="U24" s="308"/>
      <c r="V24" s="308"/>
    </row>
    <row r="25" spans="1:22" s="525" customFormat="1" ht="12.75">
      <c r="A25" s="991" t="s">
        <v>629</v>
      </c>
      <c r="B25" s="1239" t="s">
        <v>630</v>
      </c>
      <c r="C25" s="341"/>
      <c r="D25" s="1240"/>
      <c r="E25" s="1240"/>
      <c r="F25" s="1240"/>
      <c r="G25" s="992"/>
      <c r="H25" s="1240"/>
      <c r="I25" s="993"/>
      <c r="J25" s="994">
        <v>0</v>
      </c>
      <c r="K25" s="993"/>
      <c r="N25" s="535"/>
      <c r="O25" s="308"/>
      <c r="P25" s="308"/>
      <c r="Q25" s="308"/>
      <c r="R25" s="308"/>
      <c r="S25" s="308"/>
      <c r="T25" s="308"/>
      <c r="U25" s="308"/>
      <c r="V25" s="308"/>
    </row>
    <row r="26" spans="1:22" s="525" customFormat="1" ht="12.75">
      <c r="A26" s="523"/>
      <c r="B26" s="534"/>
      <c r="D26" s="526"/>
      <c r="E26" s="526"/>
      <c r="F26" s="527"/>
      <c r="G26" s="533"/>
      <c r="H26" s="527"/>
      <c r="I26" s="308"/>
      <c r="J26" s="308"/>
      <c r="K26" s="308"/>
      <c r="N26" s="308"/>
      <c r="O26" s="308"/>
      <c r="P26" s="308"/>
      <c r="Q26" s="308"/>
      <c r="R26" s="308"/>
      <c r="S26" s="308"/>
      <c r="T26" s="308"/>
      <c r="U26" s="308"/>
      <c r="V26" s="308"/>
    </row>
    <row r="27" spans="1:22" s="525" customFormat="1" ht="12.75">
      <c r="A27" s="523">
        <f>+A21+1</f>
        <v>6</v>
      </c>
      <c r="B27" s="534" t="s">
        <v>337</v>
      </c>
      <c r="D27" s="526"/>
      <c r="E27" s="526"/>
      <c r="F27" s="527"/>
      <c r="G27" s="533"/>
      <c r="H27" s="527"/>
      <c r="I27" s="537">
        <f>+I21+I19+I17+I15+I13+I23+I25</f>
        <v>432928180.13600004</v>
      </c>
      <c r="J27" s="537">
        <f>+J21+J19+J17+J15+J13+J23+J25</f>
        <v>431788688.42000002</v>
      </c>
      <c r="K27" s="537">
        <f>+K21+K19+K17+K15+K13+K23+K25</f>
        <v>1139491.716</v>
      </c>
      <c r="N27" s="308"/>
      <c r="O27" s="308"/>
      <c r="P27" s="308"/>
      <c r="Q27" s="308"/>
      <c r="R27" s="308"/>
      <c r="S27" s="308"/>
      <c r="T27" s="308"/>
      <c r="U27" s="308"/>
      <c r="V27" s="308"/>
    </row>
    <row r="28" spans="1:22" s="525" customFormat="1" ht="12.75">
      <c r="A28" s="523"/>
      <c r="B28" s="534"/>
      <c r="D28" s="526"/>
      <c r="E28" s="526"/>
      <c r="F28" s="527"/>
      <c r="G28" s="533"/>
      <c r="H28" s="527"/>
      <c r="I28" s="308"/>
      <c r="J28" s="308"/>
      <c r="K28" s="308"/>
      <c r="N28" s="308"/>
      <c r="O28" s="308"/>
      <c r="P28" s="308"/>
      <c r="Q28" s="308"/>
      <c r="R28" s="308"/>
      <c r="S28" s="308"/>
      <c r="T28" s="308"/>
      <c r="U28" s="308"/>
      <c r="V28" s="308"/>
    </row>
    <row r="29" spans="1:22" s="525" customFormat="1" ht="12.75">
      <c r="A29" s="523">
        <f>+A27+1</f>
        <v>7</v>
      </c>
      <c r="B29" s="1539" t="s">
        <v>14</v>
      </c>
      <c r="C29" s="1483"/>
      <c r="D29" s="1483"/>
      <c r="E29" s="1483"/>
      <c r="F29" s="1483"/>
      <c r="G29" s="1483"/>
      <c r="H29" s="531"/>
      <c r="I29" s="549"/>
      <c r="J29" s="528">
        <f>+I29-K29</f>
        <v>0</v>
      </c>
      <c r="K29" s="549"/>
      <c r="N29" s="308"/>
      <c r="O29" s="308"/>
      <c r="P29" s="308"/>
      <c r="Q29" s="308"/>
      <c r="R29" s="308"/>
      <c r="S29" s="308"/>
      <c r="T29" s="308"/>
      <c r="U29" s="308"/>
      <c r="V29" s="308"/>
    </row>
    <row r="30" spans="1:22" s="525" customFormat="1" ht="12.75">
      <c r="A30" s="523"/>
      <c r="B30" s="1483"/>
      <c r="C30" s="1483"/>
      <c r="D30" s="1483"/>
      <c r="E30" s="1483"/>
      <c r="F30" s="1483"/>
      <c r="G30" s="1483"/>
      <c r="H30" s="527"/>
      <c r="I30" s="536"/>
      <c r="J30" s="527"/>
      <c r="K30" s="538"/>
      <c r="N30" s="308"/>
      <c r="O30" s="308"/>
      <c r="P30" s="308"/>
      <c r="Q30" s="308"/>
      <c r="R30" s="308"/>
      <c r="S30" s="308"/>
      <c r="T30" s="308"/>
      <c r="U30" s="308"/>
      <c r="V30" s="308"/>
    </row>
    <row r="31" spans="1:22" s="525" customFormat="1" ht="12.75">
      <c r="A31" s="523">
        <f>+A29+1</f>
        <v>8</v>
      </c>
      <c r="B31" s="539" t="s">
        <v>507</v>
      </c>
      <c r="D31" s="526"/>
      <c r="E31" s="526"/>
      <c r="F31" s="527"/>
      <c r="G31" s="533"/>
      <c r="H31" s="527"/>
      <c r="I31" s="540">
        <f>+I27+I29</f>
        <v>432928180.13600004</v>
      </c>
      <c r="J31" s="540">
        <f>+J27+J29</f>
        <v>431788688.42000002</v>
      </c>
      <c r="K31" s="540">
        <f>+K27+K29</f>
        <v>1139491.716</v>
      </c>
      <c r="N31" s="308"/>
      <c r="O31" s="308"/>
      <c r="P31" s="308"/>
      <c r="Q31" s="308"/>
      <c r="R31" s="308"/>
      <c r="S31" s="308"/>
      <c r="T31" s="308"/>
      <c r="U31" s="308"/>
      <c r="V31" s="308"/>
    </row>
    <row r="32" spans="1:22" s="525" customFormat="1" ht="12.75">
      <c r="A32" s="523"/>
      <c r="B32" s="539"/>
      <c r="D32" s="526"/>
      <c r="E32" s="526"/>
      <c r="F32" s="527"/>
      <c r="G32" s="533"/>
      <c r="H32" s="527"/>
      <c r="I32" s="538"/>
      <c r="J32" s="538"/>
      <c r="K32" s="538"/>
      <c r="N32" s="308"/>
      <c r="O32" s="308"/>
      <c r="P32" s="308"/>
      <c r="Q32" s="308"/>
      <c r="R32" s="308"/>
      <c r="S32" s="308"/>
      <c r="T32" s="308"/>
      <c r="U32" s="308"/>
      <c r="V32" s="308"/>
    </row>
    <row r="33" spans="1:41" s="525" customFormat="1" ht="12.75">
      <c r="A33" s="523">
        <v>9</v>
      </c>
      <c r="B33" s="532" t="s">
        <v>557</v>
      </c>
      <c r="D33" s="526"/>
      <c r="E33" s="526"/>
      <c r="F33" s="527"/>
      <c r="G33" s="533"/>
      <c r="H33" s="527"/>
      <c r="I33" s="538"/>
      <c r="J33" s="538"/>
      <c r="K33" s="549"/>
      <c r="N33" s="308"/>
      <c r="O33" s="308"/>
      <c r="P33" s="308"/>
      <c r="Q33" s="308"/>
      <c r="R33" s="308"/>
      <c r="S33" s="308"/>
      <c r="T33" s="308"/>
      <c r="U33" s="308"/>
      <c r="V33" s="308"/>
    </row>
    <row r="34" spans="1:41" s="525" customFormat="1" ht="12.75">
      <c r="A34" s="523"/>
      <c r="B34" s="539"/>
      <c r="D34" s="526"/>
      <c r="E34" s="526"/>
      <c r="F34" s="527"/>
      <c r="G34" s="533"/>
      <c r="H34" s="527"/>
      <c r="I34" s="538"/>
      <c r="J34" s="538"/>
      <c r="K34" s="538"/>
      <c r="N34" s="308"/>
      <c r="O34" s="308"/>
      <c r="P34" s="308"/>
      <c r="Q34" s="308"/>
      <c r="R34" s="308"/>
      <c r="S34" s="308"/>
      <c r="T34" s="308"/>
      <c r="U34" s="308"/>
      <c r="V34" s="308"/>
    </row>
    <row r="35" spans="1:41" ht="15.75">
      <c r="A35" s="541"/>
      <c r="C35" s="521"/>
      <c r="D35" s="512"/>
      <c r="E35" s="512"/>
      <c r="F35" s="516"/>
      <c r="G35" s="542"/>
      <c r="H35" s="516"/>
      <c r="I35" s="543"/>
      <c r="J35" s="516"/>
      <c r="K35" s="516"/>
      <c r="L35" s="516"/>
      <c r="M35" s="544"/>
      <c r="N35" s="386"/>
      <c r="O35" s="515"/>
      <c r="P35" s="515"/>
      <c r="Q35" s="515"/>
      <c r="R35" s="515"/>
      <c r="S35" s="386"/>
      <c r="T35" s="386"/>
      <c r="U35" s="386"/>
      <c r="V35" s="386"/>
    </row>
    <row r="36" spans="1:41" s="525" customFormat="1" ht="12.75" customHeight="1">
      <c r="A36" s="208" t="s">
        <v>297</v>
      </c>
      <c r="B36" s="153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538"/>
      <c r="D36" s="1538"/>
      <c r="E36" s="1538"/>
      <c r="F36" s="1538"/>
      <c r="G36" s="1538"/>
      <c r="H36" s="1538"/>
      <c r="I36" s="1538"/>
      <c r="J36" s="1538"/>
      <c r="K36" s="308"/>
      <c r="L36" s="308"/>
      <c r="M36" s="308"/>
      <c r="N36" s="308"/>
      <c r="O36" s="308"/>
      <c r="P36" s="308"/>
      <c r="Q36" s="308"/>
      <c r="R36" s="308"/>
      <c r="S36" s="308"/>
      <c r="T36" s="529"/>
      <c r="U36" s="308"/>
      <c r="V36" s="308"/>
    </row>
    <row r="37" spans="1:41" s="525" customFormat="1" ht="12.75">
      <c r="A37" s="308"/>
      <c r="B37" s="1538"/>
      <c r="C37" s="1538"/>
      <c r="D37" s="1538"/>
      <c r="E37" s="1538"/>
      <c r="F37" s="1538"/>
      <c r="G37" s="1538"/>
      <c r="H37" s="1538"/>
      <c r="I37" s="1538"/>
      <c r="J37" s="1538"/>
      <c r="K37" s="308"/>
      <c r="L37" s="341"/>
      <c r="M37" s="545"/>
      <c r="N37" s="545"/>
      <c r="O37" s="545"/>
      <c r="P37" s="545"/>
      <c r="Q37" s="545"/>
      <c r="R37" s="341"/>
      <c r="S37" s="341"/>
      <c r="T37" s="341"/>
      <c r="U37" s="341"/>
      <c r="V37" s="341"/>
      <c r="W37" s="546"/>
      <c r="X37" s="546"/>
      <c r="Y37" s="546"/>
      <c r="Z37" s="546"/>
      <c r="AA37" s="546"/>
      <c r="AB37" s="546"/>
      <c r="AC37" s="546"/>
      <c r="AD37" s="546"/>
      <c r="AE37" s="546"/>
      <c r="AF37" s="546"/>
      <c r="AG37" s="546"/>
      <c r="AH37" s="546"/>
      <c r="AI37" s="546"/>
      <c r="AJ37" s="546"/>
      <c r="AK37" s="546"/>
      <c r="AL37" s="546"/>
      <c r="AM37" s="546"/>
      <c r="AN37" s="546"/>
      <c r="AO37" s="546"/>
    </row>
    <row r="38" spans="1:41" s="525" customFormat="1" ht="12.75">
      <c r="A38" s="341" t="s">
        <v>631</v>
      </c>
      <c r="B38" s="1241" t="s">
        <v>632</v>
      </c>
      <c r="C38" s="1063"/>
      <c r="D38" s="1063"/>
      <c r="E38" s="1063"/>
      <c r="F38" s="1063"/>
      <c r="G38" s="1063"/>
      <c r="H38" s="1063"/>
      <c r="I38" s="1063"/>
      <c r="J38" s="990"/>
      <c r="K38" s="545"/>
      <c r="L38" s="341"/>
      <c r="M38" s="545"/>
      <c r="N38" s="545"/>
      <c r="O38" s="545"/>
      <c r="P38" s="545"/>
      <c r="Q38" s="545"/>
      <c r="R38" s="341"/>
      <c r="S38" s="341"/>
      <c r="T38" s="341"/>
      <c r="U38" s="341"/>
      <c r="V38" s="341"/>
      <c r="W38" s="546"/>
      <c r="X38" s="546"/>
      <c r="Y38" s="546"/>
      <c r="Z38" s="546"/>
      <c r="AA38" s="546"/>
      <c r="AB38" s="546"/>
      <c r="AC38" s="546"/>
      <c r="AD38" s="546"/>
      <c r="AE38" s="546"/>
      <c r="AF38" s="546"/>
      <c r="AG38" s="546"/>
      <c r="AH38" s="546"/>
      <c r="AI38" s="546"/>
      <c r="AJ38" s="546"/>
      <c r="AK38" s="546"/>
      <c r="AL38" s="546"/>
      <c r="AM38" s="546"/>
      <c r="AN38" s="546"/>
      <c r="AO38" s="546"/>
    </row>
    <row r="39" spans="1:41" ht="15.75">
      <c r="A39" s="386"/>
      <c r="B39" s="385"/>
      <c r="E39" s="547"/>
      <c r="F39" s="547"/>
      <c r="G39" s="547"/>
      <c r="H39" s="547"/>
      <c r="I39" s="547"/>
      <c r="J39" s="547"/>
      <c r="K39" s="547"/>
      <c r="L39" s="385"/>
      <c r="M39" s="547"/>
      <c r="N39" s="547"/>
      <c r="O39" s="547"/>
      <c r="P39" s="547"/>
      <c r="Q39" s="547"/>
      <c r="R39" s="385"/>
      <c r="S39" s="385"/>
      <c r="T39" s="385"/>
      <c r="U39" s="385"/>
      <c r="V39" s="385"/>
      <c r="W39" s="548"/>
      <c r="X39" s="548"/>
      <c r="Y39" s="548"/>
      <c r="Z39" s="548"/>
      <c r="AA39" s="548"/>
      <c r="AB39" s="548"/>
      <c r="AC39" s="548"/>
      <c r="AD39" s="548"/>
      <c r="AE39" s="548"/>
      <c r="AF39" s="548"/>
      <c r="AG39" s="548"/>
      <c r="AH39" s="548"/>
      <c r="AI39" s="548"/>
      <c r="AJ39" s="548"/>
      <c r="AK39" s="548"/>
      <c r="AL39" s="548"/>
      <c r="AM39" s="548"/>
      <c r="AN39" s="548"/>
      <c r="AO39" s="548"/>
    </row>
    <row r="40" spans="1:41" ht="15.75">
      <c r="A40" s="386"/>
      <c r="B40" s="385"/>
      <c r="E40" s="547"/>
      <c r="F40" s="547"/>
      <c r="G40" s="547"/>
      <c r="H40" s="547"/>
      <c r="I40" s="547"/>
      <c r="J40" s="547"/>
      <c r="K40" s="547"/>
      <c r="L40" s="385"/>
      <c r="M40" s="547"/>
      <c r="N40" s="547"/>
      <c r="O40" s="547"/>
      <c r="P40" s="547"/>
      <c r="Q40" s="547"/>
      <c r="R40" s="385"/>
      <c r="S40" s="385"/>
      <c r="T40" s="385"/>
      <c r="U40" s="385"/>
      <c r="V40" s="385"/>
      <c r="W40" s="548"/>
      <c r="X40" s="548"/>
      <c r="Y40" s="548"/>
      <c r="Z40" s="548"/>
      <c r="AA40" s="548"/>
      <c r="AB40" s="548"/>
      <c r="AC40" s="548"/>
      <c r="AD40" s="548"/>
      <c r="AE40" s="548"/>
      <c r="AF40" s="548"/>
      <c r="AG40" s="548"/>
      <c r="AH40" s="548"/>
      <c r="AI40" s="548"/>
      <c r="AJ40" s="548"/>
      <c r="AK40" s="548"/>
      <c r="AL40" s="548"/>
      <c r="AM40" s="548"/>
      <c r="AN40" s="548"/>
      <c r="AO40" s="548"/>
    </row>
    <row r="41" spans="1:41" ht="15.75">
      <c r="A41" s="386"/>
      <c r="B41" s="385"/>
      <c r="E41" s="547"/>
      <c r="F41" s="547"/>
      <c r="G41" s="547"/>
      <c r="H41" s="547"/>
      <c r="I41" s="547"/>
      <c r="J41" s="547"/>
      <c r="K41" s="547"/>
      <c r="L41" s="385"/>
      <c r="M41" s="547"/>
      <c r="N41" s="547"/>
      <c r="O41" s="547"/>
      <c r="P41" s="547"/>
      <c r="Q41" s="547"/>
      <c r="R41" s="385"/>
      <c r="S41" s="385"/>
      <c r="T41" s="385"/>
      <c r="U41" s="385"/>
      <c r="V41" s="385"/>
      <c r="W41" s="548"/>
      <c r="X41" s="548"/>
      <c r="Y41" s="548"/>
      <c r="Z41" s="548"/>
      <c r="AA41" s="548"/>
      <c r="AB41" s="548"/>
      <c r="AC41" s="548"/>
      <c r="AD41" s="548"/>
      <c r="AE41" s="548"/>
      <c r="AF41" s="548"/>
      <c r="AG41" s="548"/>
      <c r="AH41" s="548"/>
      <c r="AI41" s="548"/>
      <c r="AJ41" s="548"/>
      <c r="AK41" s="548"/>
      <c r="AL41" s="548"/>
      <c r="AM41" s="548"/>
      <c r="AN41" s="548"/>
      <c r="AO41" s="548"/>
    </row>
    <row r="42" spans="1:41" ht="15.75">
      <c r="A42" s="386"/>
      <c r="B42" s="385"/>
      <c r="E42" s="547"/>
      <c r="F42" s="547"/>
      <c r="G42" s="547"/>
      <c r="H42" s="547"/>
      <c r="I42" s="547"/>
      <c r="J42" s="547"/>
      <c r="K42" s="547"/>
      <c r="L42" s="385"/>
      <c r="M42" s="547"/>
      <c r="N42" s="547"/>
      <c r="O42" s="547"/>
      <c r="P42" s="547"/>
      <c r="Q42" s="547"/>
      <c r="R42" s="385"/>
      <c r="S42" s="385"/>
      <c r="T42" s="385"/>
      <c r="U42" s="385"/>
      <c r="V42" s="385"/>
      <c r="W42" s="548"/>
      <c r="X42" s="548"/>
      <c r="Y42" s="548"/>
      <c r="Z42" s="548"/>
      <c r="AA42" s="548"/>
      <c r="AB42" s="548"/>
      <c r="AC42" s="548"/>
      <c r="AD42" s="548"/>
      <c r="AE42" s="548"/>
      <c r="AF42" s="548"/>
      <c r="AG42" s="548"/>
      <c r="AH42" s="548"/>
      <c r="AI42" s="548"/>
      <c r="AJ42" s="548"/>
      <c r="AK42" s="548"/>
      <c r="AL42" s="548"/>
      <c r="AM42" s="548"/>
      <c r="AN42" s="548"/>
      <c r="AO42" s="548"/>
    </row>
    <row r="43" spans="1:41" ht="15.75">
      <c r="A43" s="386"/>
      <c r="B43" s="385"/>
      <c r="E43" s="547"/>
      <c r="F43" s="547"/>
      <c r="G43" s="547"/>
      <c r="H43" s="547"/>
      <c r="I43" s="547"/>
      <c r="J43" s="547"/>
      <c r="K43" s="547"/>
      <c r="L43" s="385"/>
      <c r="M43" s="547"/>
      <c r="N43" s="547"/>
      <c r="O43" s="547"/>
      <c r="P43" s="547"/>
      <c r="Q43" s="547"/>
      <c r="R43" s="385"/>
      <c r="S43" s="385"/>
      <c r="T43" s="385"/>
      <c r="U43" s="385"/>
      <c r="V43" s="385"/>
      <c r="W43" s="548"/>
      <c r="X43" s="548"/>
      <c r="Y43" s="548"/>
      <c r="Z43" s="548"/>
      <c r="AA43" s="548"/>
      <c r="AB43" s="548"/>
      <c r="AC43" s="548"/>
      <c r="AD43" s="548"/>
      <c r="AE43" s="548"/>
      <c r="AF43" s="548"/>
      <c r="AG43" s="548"/>
      <c r="AH43" s="548"/>
      <c r="AI43" s="548"/>
      <c r="AJ43" s="548"/>
      <c r="AK43" s="548"/>
      <c r="AL43" s="548"/>
      <c r="AM43" s="548"/>
      <c r="AN43" s="548"/>
      <c r="AO43" s="548"/>
    </row>
    <row r="44" spans="1:41" ht="15.75">
      <c r="A44" s="386"/>
      <c r="B44" s="385"/>
      <c r="E44" s="547"/>
      <c r="F44" s="547"/>
      <c r="G44" s="547"/>
      <c r="H44" s="547"/>
      <c r="I44" s="547"/>
      <c r="J44" s="547"/>
      <c r="K44" s="547"/>
      <c r="L44" s="385"/>
      <c r="M44" s="547"/>
      <c r="N44" s="547"/>
      <c r="O44" s="547"/>
      <c r="P44" s="547"/>
      <c r="Q44" s="547"/>
      <c r="R44" s="385"/>
      <c r="S44" s="385"/>
      <c r="T44" s="385"/>
      <c r="U44" s="385"/>
      <c r="V44" s="385"/>
      <c r="W44" s="548"/>
      <c r="X44" s="548"/>
      <c r="Y44" s="548"/>
      <c r="Z44" s="548"/>
      <c r="AA44" s="548"/>
      <c r="AB44" s="548"/>
      <c r="AC44" s="548"/>
      <c r="AD44" s="548"/>
      <c r="AE44" s="548"/>
      <c r="AF44" s="548"/>
      <c r="AG44" s="548"/>
      <c r="AH44" s="548"/>
      <c r="AI44" s="548"/>
      <c r="AJ44" s="548"/>
      <c r="AK44" s="548"/>
      <c r="AL44" s="548"/>
      <c r="AM44" s="548"/>
      <c r="AN44" s="548"/>
      <c r="AO44" s="548"/>
    </row>
    <row r="45" spans="1:41" ht="15.75">
      <c r="A45" s="386"/>
      <c r="B45" s="385"/>
      <c r="E45" s="547"/>
      <c r="F45" s="547"/>
      <c r="G45" s="547"/>
      <c r="H45" s="547"/>
      <c r="I45" s="547"/>
      <c r="J45" s="547"/>
      <c r="K45" s="547"/>
      <c r="L45" s="385"/>
      <c r="M45" s="547"/>
      <c r="N45" s="547"/>
      <c r="O45" s="547"/>
      <c r="P45" s="547"/>
      <c r="Q45" s="547"/>
      <c r="R45" s="385"/>
      <c r="S45" s="385"/>
      <c r="T45" s="385"/>
      <c r="U45" s="385"/>
      <c r="V45" s="385"/>
      <c r="W45" s="548"/>
      <c r="X45" s="548"/>
      <c r="Y45" s="548"/>
      <c r="Z45" s="548"/>
      <c r="AA45" s="548"/>
      <c r="AB45" s="548"/>
      <c r="AC45" s="548"/>
      <c r="AD45" s="548"/>
      <c r="AE45" s="548"/>
      <c r="AF45" s="548"/>
      <c r="AG45" s="548"/>
      <c r="AH45" s="548"/>
      <c r="AI45" s="548"/>
      <c r="AJ45" s="548"/>
      <c r="AK45" s="548"/>
      <c r="AL45" s="548"/>
      <c r="AM45" s="548"/>
      <c r="AN45" s="548"/>
      <c r="AO45" s="548"/>
    </row>
    <row r="46" spans="1:41" ht="15.75">
      <c r="A46" s="386"/>
      <c r="B46" s="385"/>
      <c r="E46" s="547"/>
      <c r="F46" s="547"/>
      <c r="G46" s="547"/>
      <c r="H46" s="547"/>
      <c r="I46" s="547"/>
      <c r="J46" s="547"/>
      <c r="K46" s="547"/>
      <c r="L46" s="385"/>
      <c r="M46" s="547"/>
      <c r="N46" s="547"/>
      <c r="O46" s="547"/>
      <c r="P46" s="547"/>
      <c r="Q46" s="547"/>
      <c r="R46" s="385"/>
      <c r="S46" s="385"/>
      <c r="T46" s="385"/>
      <c r="U46" s="385"/>
      <c r="V46" s="385"/>
      <c r="W46" s="548"/>
      <c r="X46" s="548"/>
      <c r="Y46" s="548"/>
      <c r="Z46" s="548"/>
      <c r="AA46" s="548"/>
      <c r="AB46" s="548"/>
      <c r="AC46" s="548"/>
      <c r="AD46" s="548"/>
      <c r="AE46" s="548"/>
      <c r="AF46" s="548"/>
      <c r="AG46" s="548"/>
      <c r="AH46" s="548"/>
      <c r="AI46" s="548"/>
      <c r="AJ46" s="548"/>
      <c r="AK46" s="548"/>
      <c r="AL46" s="548"/>
      <c r="AM46" s="548"/>
      <c r="AN46" s="548"/>
      <c r="AO46" s="548"/>
    </row>
    <row r="47" spans="1:41" ht="15.75">
      <c r="A47" s="386"/>
      <c r="B47" s="385"/>
      <c r="E47" s="547"/>
      <c r="F47" s="547"/>
      <c r="G47" s="547"/>
      <c r="H47" s="547"/>
      <c r="I47" s="547"/>
      <c r="J47" s="547"/>
      <c r="K47" s="547"/>
      <c r="L47" s="385"/>
      <c r="M47" s="547"/>
      <c r="N47" s="547"/>
      <c r="O47" s="547"/>
      <c r="P47" s="547"/>
      <c r="Q47" s="547"/>
      <c r="R47" s="385"/>
      <c r="S47" s="385"/>
      <c r="T47" s="385"/>
      <c r="U47" s="385"/>
      <c r="V47" s="385"/>
      <c r="W47" s="548"/>
      <c r="X47" s="548"/>
      <c r="Y47" s="548"/>
      <c r="Z47" s="548"/>
      <c r="AA47" s="548"/>
      <c r="AB47" s="548"/>
      <c r="AC47" s="548"/>
      <c r="AD47" s="548"/>
      <c r="AE47" s="548"/>
      <c r="AF47" s="548"/>
      <c r="AG47" s="548"/>
      <c r="AH47" s="548"/>
      <c r="AI47" s="548"/>
      <c r="AJ47" s="548"/>
      <c r="AK47" s="548"/>
      <c r="AL47" s="548"/>
      <c r="AM47" s="548"/>
      <c r="AN47" s="548"/>
      <c r="AO47" s="548"/>
    </row>
    <row r="48" spans="1:41" ht="15.75">
      <c r="A48" s="386"/>
      <c r="B48" s="385"/>
      <c r="E48" s="547"/>
      <c r="F48" s="547"/>
      <c r="G48" s="547"/>
      <c r="H48" s="547"/>
      <c r="I48" s="547"/>
      <c r="J48" s="547"/>
      <c r="K48" s="547"/>
      <c r="L48" s="385"/>
      <c r="M48" s="547"/>
      <c r="N48" s="547"/>
      <c r="O48" s="547"/>
      <c r="P48" s="547"/>
      <c r="Q48" s="547"/>
      <c r="R48" s="385"/>
      <c r="S48" s="385"/>
      <c r="T48" s="385"/>
      <c r="U48" s="385"/>
      <c r="V48" s="385"/>
      <c r="W48" s="548"/>
      <c r="X48" s="548"/>
      <c r="Y48" s="548"/>
      <c r="Z48" s="548"/>
      <c r="AA48" s="548"/>
      <c r="AB48" s="548"/>
      <c r="AC48" s="548"/>
      <c r="AD48" s="548"/>
      <c r="AE48" s="548"/>
      <c r="AF48" s="548"/>
      <c r="AG48" s="548"/>
      <c r="AH48" s="548"/>
      <c r="AI48" s="548"/>
      <c r="AJ48" s="548"/>
      <c r="AK48" s="548"/>
      <c r="AL48" s="548"/>
      <c r="AM48" s="548"/>
      <c r="AN48" s="548"/>
      <c r="AO48" s="548"/>
    </row>
    <row r="49" spans="1:41" ht="15.75">
      <c r="I49" s="547"/>
      <c r="J49" s="547"/>
      <c r="K49" s="547"/>
      <c r="L49" s="385"/>
      <c r="M49" s="547"/>
      <c r="N49" s="547"/>
      <c r="O49" s="547"/>
      <c r="P49" s="547"/>
      <c r="Q49" s="547"/>
      <c r="R49" s="385"/>
      <c r="S49" s="385"/>
      <c r="T49" s="385"/>
      <c r="U49" s="385"/>
      <c r="V49" s="385"/>
      <c r="W49" s="548"/>
      <c r="X49" s="548"/>
      <c r="Y49" s="548"/>
      <c r="Z49" s="548"/>
      <c r="AA49" s="548"/>
      <c r="AB49" s="548"/>
      <c r="AC49" s="548"/>
      <c r="AD49" s="548"/>
      <c r="AE49" s="548"/>
      <c r="AF49" s="548"/>
      <c r="AG49" s="548"/>
      <c r="AH49" s="548"/>
      <c r="AI49" s="548"/>
      <c r="AJ49" s="548"/>
      <c r="AK49" s="548"/>
      <c r="AL49" s="548"/>
      <c r="AM49" s="548"/>
      <c r="AN49" s="548"/>
      <c r="AO49" s="548"/>
    </row>
    <row r="50" spans="1:41" ht="15.75">
      <c r="A50" s="386"/>
      <c r="B50" s="385"/>
      <c r="E50" s="547"/>
      <c r="F50" s="547"/>
      <c r="G50" s="547"/>
      <c r="H50" s="547"/>
      <c r="I50" s="547"/>
      <c r="J50" s="547"/>
      <c r="K50" s="547"/>
      <c r="L50" s="385"/>
      <c r="M50" s="547"/>
      <c r="N50" s="547"/>
      <c r="O50" s="547"/>
      <c r="P50" s="547"/>
      <c r="Q50" s="547"/>
      <c r="R50" s="385"/>
      <c r="S50" s="385"/>
      <c r="T50" s="385"/>
      <c r="U50" s="385"/>
      <c r="V50" s="385"/>
      <c r="W50" s="548"/>
      <c r="X50" s="548"/>
      <c r="Y50" s="548"/>
      <c r="Z50" s="548"/>
      <c r="AA50" s="548"/>
      <c r="AB50" s="548"/>
      <c r="AC50" s="548"/>
      <c r="AD50" s="548"/>
      <c r="AE50" s="548"/>
      <c r="AF50" s="548"/>
      <c r="AG50" s="548"/>
      <c r="AH50" s="548"/>
      <c r="AI50" s="548"/>
      <c r="AJ50" s="548"/>
      <c r="AK50" s="548"/>
      <c r="AL50" s="548"/>
      <c r="AM50" s="548"/>
      <c r="AN50" s="548"/>
      <c r="AO50" s="548"/>
    </row>
    <row r="51" spans="1:41" ht="15.75">
      <c r="A51" s="386"/>
      <c r="B51" s="385"/>
      <c r="E51" s="547"/>
      <c r="F51" s="547"/>
      <c r="G51" s="547"/>
      <c r="H51" s="547"/>
      <c r="I51" s="547"/>
      <c r="J51" s="547"/>
      <c r="K51" s="547"/>
      <c r="L51" s="385"/>
      <c r="M51" s="547"/>
      <c r="N51" s="547"/>
      <c r="O51" s="547"/>
      <c r="P51" s="547"/>
      <c r="Q51" s="547"/>
      <c r="R51" s="385"/>
      <c r="S51" s="385"/>
      <c r="T51" s="385"/>
      <c r="U51" s="385"/>
      <c r="V51" s="385"/>
      <c r="W51" s="548"/>
      <c r="X51" s="548"/>
      <c r="Y51" s="548"/>
      <c r="Z51" s="548"/>
      <c r="AA51" s="548"/>
      <c r="AB51" s="548"/>
      <c r="AC51" s="548"/>
      <c r="AD51" s="548"/>
      <c r="AE51" s="548"/>
      <c r="AF51" s="548"/>
      <c r="AG51" s="548"/>
      <c r="AH51" s="548"/>
      <c r="AI51" s="548"/>
      <c r="AJ51" s="548"/>
      <c r="AK51" s="548"/>
      <c r="AL51" s="548"/>
      <c r="AM51" s="548"/>
      <c r="AN51" s="548"/>
      <c r="AO51" s="548"/>
    </row>
    <row r="52" spans="1:41" ht="15.75">
      <c r="A52" s="386"/>
      <c r="B52" s="385"/>
      <c r="E52" s="547"/>
      <c r="F52" s="547"/>
      <c r="G52" s="547"/>
      <c r="H52" s="547"/>
      <c r="I52" s="547"/>
      <c r="J52" s="547"/>
      <c r="K52" s="547"/>
      <c r="L52" s="385"/>
      <c r="M52" s="547"/>
      <c r="N52" s="547"/>
      <c r="O52" s="547"/>
      <c r="P52" s="547"/>
      <c r="Q52" s="547"/>
      <c r="R52" s="385"/>
      <c r="S52" s="385"/>
      <c r="T52" s="385"/>
      <c r="U52" s="385"/>
      <c r="V52" s="385"/>
      <c r="W52" s="548"/>
      <c r="X52" s="548"/>
      <c r="Y52" s="548"/>
      <c r="Z52" s="548"/>
      <c r="AA52" s="548"/>
      <c r="AB52" s="548"/>
      <c r="AC52" s="548"/>
      <c r="AD52" s="548"/>
      <c r="AE52" s="548"/>
      <c r="AF52" s="548"/>
      <c r="AG52" s="548"/>
      <c r="AH52" s="548"/>
      <c r="AI52" s="548"/>
      <c r="AJ52" s="548"/>
      <c r="AK52" s="548"/>
      <c r="AL52" s="548"/>
      <c r="AM52" s="548"/>
      <c r="AN52" s="548"/>
      <c r="AO52" s="548"/>
    </row>
    <row r="53" spans="1:41" ht="15.75">
      <c r="A53" s="386"/>
      <c r="B53" s="385"/>
      <c r="E53" s="547"/>
      <c r="F53" s="547"/>
      <c r="G53" s="547"/>
      <c r="H53" s="547"/>
      <c r="I53" s="547"/>
      <c r="J53" s="547"/>
      <c r="K53" s="547"/>
      <c r="L53" s="385"/>
      <c r="M53" s="547"/>
      <c r="N53" s="547"/>
      <c r="O53" s="547"/>
      <c r="P53" s="547"/>
      <c r="Q53" s="547"/>
      <c r="R53" s="385"/>
      <c r="S53" s="385"/>
      <c r="T53" s="385"/>
      <c r="U53" s="385"/>
      <c r="V53" s="385"/>
      <c r="W53" s="548"/>
      <c r="X53" s="548"/>
      <c r="Y53" s="548"/>
      <c r="Z53" s="548"/>
      <c r="AA53" s="548"/>
      <c r="AB53" s="548"/>
      <c r="AC53" s="548"/>
      <c r="AD53" s="548"/>
      <c r="AE53" s="548"/>
      <c r="AF53" s="548"/>
      <c r="AG53" s="548"/>
      <c r="AH53" s="548"/>
      <c r="AI53" s="548"/>
      <c r="AJ53" s="548"/>
      <c r="AK53" s="548"/>
      <c r="AL53" s="548"/>
      <c r="AM53" s="548"/>
      <c r="AN53" s="548"/>
      <c r="AO53" s="548"/>
    </row>
    <row r="54" spans="1:41" ht="15.75">
      <c r="A54" s="386"/>
      <c r="B54" s="385"/>
      <c r="E54" s="547"/>
      <c r="F54" s="547"/>
      <c r="G54" s="547"/>
      <c r="H54" s="547"/>
      <c r="I54" s="547"/>
      <c r="J54" s="547"/>
      <c r="K54" s="547"/>
      <c r="L54" s="385"/>
      <c r="M54" s="547"/>
      <c r="N54" s="547"/>
      <c r="O54" s="547"/>
      <c r="P54" s="547"/>
      <c r="Q54" s="547"/>
      <c r="R54" s="385"/>
      <c r="S54" s="385"/>
      <c r="T54" s="385"/>
      <c r="U54" s="385"/>
      <c r="V54" s="385"/>
      <c r="W54" s="548"/>
      <c r="X54" s="548"/>
      <c r="Y54" s="548"/>
      <c r="Z54" s="548"/>
      <c r="AA54" s="548"/>
      <c r="AB54" s="548"/>
      <c r="AC54" s="548"/>
      <c r="AD54" s="548"/>
      <c r="AE54" s="548"/>
      <c r="AF54" s="548"/>
      <c r="AG54" s="548"/>
      <c r="AH54" s="548"/>
      <c r="AI54" s="548"/>
      <c r="AJ54" s="548"/>
      <c r="AK54" s="548"/>
      <c r="AL54" s="548"/>
      <c r="AM54" s="548"/>
      <c r="AN54" s="548"/>
      <c r="AO54" s="548"/>
    </row>
    <row r="55" spans="1:41" ht="15.75">
      <c r="A55" s="386"/>
      <c r="B55" s="385"/>
      <c r="E55" s="547"/>
      <c r="F55" s="547"/>
      <c r="G55" s="547"/>
      <c r="H55" s="547"/>
      <c r="I55" s="547"/>
      <c r="J55" s="547"/>
      <c r="K55" s="547"/>
      <c r="L55" s="385"/>
      <c r="M55" s="547"/>
      <c r="N55" s="547"/>
      <c r="O55" s="547"/>
      <c r="P55" s="547"/>
      <c r="Q55" s="547"/>
      <c r="R55" s="385"/>
      <c r="S55" s="385"/>
      <c r="T55" s="385"/>
      <c r="U55" s="385"/>
      <c r="V55" s="385"/>
      <c r="W55" s="548"/>
      <c r="X55" s="548"/>
      <c r="Y55" s="548"/>
      <c r="Z55" s="548"/>
      <c r="AA55" s="548"/>
      <c r="AB55" s="548"/>
      <c r="AC55" s="548"/>
      <c r="AD55" s="548"/>
      <c r="AE55" s="548"/>
      <c r="AF55" s="548"/>
      <c r="AG55" s="548"/>
      <c r="AH55" s="548"/>
      <c r="AI55" s="548"/>
      <c r="AJ55" s="548"/>
      <c r="AK55" s="548"/>
      <c r="AL55" s="548"/>
      <c r="AM55" s="548"/>
      <c r="AN55" s="548"/>
      <c r="AO55" s="548"/>
    </row>
    <row r="56" spans="1:41" ht="15.75">
      <c r="A56" s="386"/>
      <c r="B56" s="385"/>
      <c r="E56" s="547"/>
      <c r="F56" s="547"/>
      <c r="G56" s="547"/>
      <c r="H56" s="547"/>
      <c r="I56" s="547"/>
      <c r="J56" s="547"/>
      <c r="K56" s="547"/>
      <c r="L56" s="385"/>
      <c r="M56" s="547"/>
      <c r="N56" s="547"/>
      <c r="O56" s="547"/>
      <c r="P56" s="547"/>
      <c r="Q56" s="547"/>
      <c r="R56" s="385"/>
      <c r="S56" s="385"/>
      <c r="T56" s="385"/>
      <c r="U56" s="385"/>
      <c r="V56" s="385"/>
      <c r="W56" s="548"/>
      <c r="X56" s="548"/>
      <c r="Y56" s="548"/>
      <c r="Z56" s="548"/>
      <c r="AA56" s="548"/>
      <c r="AB56" s="548"/>
      <c r="AC56" s="548"/>
      <c r="AD56" s="548"/>
      <c r="AE56" s="548"/>
      <c r="AF56" s="548"/>
      <c r="AG56" s="548"/>
      <c r="AH56" s="548"/>
      <c r="AI56" s="548"/>
      <c r="AJ56" s="548"/>
      <c r="AK56" s="548"/>
      <c r="AL56" s="548"/>
      <c r="AM56" s="548"/>
      <c r="AN56" s="548"/>
      <c r="AO56" s="548"/>
    </row>
    <row r="57" spans="1:41" ht="15.75">
      <c r="A57" s="386"/>
      <c r="B57" s="385"/>
      <c r="E57" s="547"/>
      <c r="F57" s="547"/>
      <c r="G57" s="547"/>
      <c r="H57" s="547"/>
      <c r="I57" s="547"/>
      <c r="J57" s="547"/>
      <c r="K57" s="547"/>
      <c r="L57" s="385"/>
      <c r="M57" s="547"/>
      <c r="N57" s="547"/>
      <c r="O57" s="547"/>
      <c r="P57" s="547"/>
      <c r="Q57" s="547"/>
      <c r="R57" s="385"/>
      <c r="S57" s="385"/>
      <c r="T57" s="385"/>
      <c r="U57" s="385"/>
      <c r="V57" s="385"/>
      <c r="W57" s="548"/>
      <c r="X57" s="548"/>
      <c r="Y57" s="548"/>
      <c r="Z57" s="548"/>
      <c r="AA57" s="548"/>
      <c r="AB57" s="548"/>
      <c r="AC57" s="548"/>
      <c r="AD57" s="548"/>
      <c r="AE57" s="548"/>
      <c r="AF57" s="548"/>
      <c r="AG57" s="548"/>
      <c r="AH57" s="548"/>
      <c r="AI57" s="548"/>
      <c r="AJ57" s="548"/>
      <c r="AK57" s="548"/>
      <c r="AL57" s="548"/>
      <c r="AM57" s="548"/>
      <c r="AN57" s="548"/>
      <c r="AO57" s="548"/>
    </row>
    <row r="58" spans="1:41" ht="15.75">
      <c r="A58" s="386"/>
      <c r="B58" s="385"/>
      <c r="E58" s="547"/>
      <c r="F58" s="547"/>
      <c r="G58" s="547"/>
      <c r="H58" s="547"/>
      <c r="I58" s="547"/>
      <c r="J58" s="547"/>
      <c r="K58" s="547"/>
      <c r="L58" s="385"/>
      <c r="M58" s="547"/>
      <c r="N58" s="547"/>
      <c r="O58" s="547"/>
      <c r="P58" s="547"/>
      <c r="Q58" s="547"/>
      <c r="R58" s="385"/>
      <c r="S58" s="385"/>
      <c r="T58" s="385"/>
      <c r="U58" s="385"/>
      <c r="V58" s="385"/>
      <c r="W58" s="548"/>
      <c r="X58" s="548"/>
      <c r="Y58" s="548"/>
      <c r="Z58" s="548"/>
      <c r="AA58" s="548"/>
      <c r="AB58" s="548"/>
      <c r="AC58" s="548"/>
      <c r="AD58" s="548"/>
      <c r="AE58" s="548"/>
      <c r="AF58" s="548"/>
      <c r="AG58" s="548"/>
      <c r="AH58" s="548"/>
      <c r="AI58" s="548"/>
      <c r="AJ58" s="548"/>
      <c r="AK58" s="548"/>
      <c r="AL58" s="548"/>
      <c r="AM58" s="548"/>
      <c r="AN58" s="548"/>
      <c r="AO58" s="548"/>
    </row>
    <row r="59" spans="1:41" ht="15.75">
      <c r="A59" s="386"/>
      <c r="B59" s="385"/>
      <c r="E59" s="547"/>
      <c r="F59" s="547"/>
      <c r="G59" s="547"/>
      <c r="H59" s="547"/>
      <c r="I59" s="547"/>
      <c r="J59" s="547"/>
      <c r="K59" s="547"/>
      <c r="L59" s="385"/>
      <c r="M59" s="547"/>
      <c r="N59" s="547"/>
      <c r="O59" s="547"/>
      <c r="P59" s="547"/>
      <c r="Q59" s="547"/>
      <c r="R59" s="385"/>
      <c r="S59" s="385"/>
      <c r="T59" s="385"/>
      <c r="U59" s="385"/>
      <c r="V59" s="385"/>
      <c r="W59" s="548"/>
      <c r="X59" s="548"/>
      <c r="Y59" s="548"/>
      <c r="Z59" s="548"/>
      <c r="AA59" s="548"/>
      <c r="AB59" s="548"/>
      <c r="AC59" s="548"/>
      <c r="AD59" s="548"/>
      <c r="AE59" s="548"/>
      <c r="AF59" s="548"/>
      <c r="AG59" s="548"/>
      <c r="AH59" s="548"/>
      <c r="AI59" s="548"/>
      <c r="AJ59" s="548"/>
      <c r="AK59" s="548"/>
      <c r="AL59" s="548"/>
      <c r="AM59" s="548"/>
      <c r="AN59" s="548"/>
      <c r="AO59" s="548"/>
    </row>
    <row r="60" spans="1:41" ht="15.75">
      <c r="A60" s="386"/>
      <c r="B60" s="385"/>
      <c r="E60" s="547"/>
      <c r="F60" s="547"/>
      <c r="G60" s="547"/>
      <c r="H60" s="547"/>
      <c r="I60" s="547"/>
      <c r="J60" s="547"/>
      <c r="K60" s="547"/>
      <c r="L60" s="385"/>
      <c r="M60" s="547"/>
      <c r="N60" s="547"/>
      <c r="O60" s="547"/>
      <c r="P60" s="547"/>
      <c r="Q60" s="547"/>
      <c r="R60" s="385"/>
      <c r="S60" s="385"/>
      <c r="T60" s="385"/>
      <c r="U60" s="385"/>
      <c r="V60" s="385"/>
      <c r="W60" s="548"/>
      <c r="X60" s="548"/>
      <c r="Y60" s="548"/>
      <c r="Z60" s="548"/>
      <c r="AA60" s="548"/>
      <c r="AB60" s="548"/>
      <c r="AC60" s="548"/>
      <c r="AD60" s="548"/>
      <c r="AE60" s="548"/>
      <c r="AF60" s="548"/>
      <c r="AG60" s="548"/>
      <c r="AH60" s="548"/>
      <c r="AI60" s="548"/>
      <c r="AJ60" s="548"/>
      <c r="AK60" s="548"/>
      <c r="AL60" s="548"/>
      <c r="AM60" s="548"/>
      <c r="AN60" s="548"/>
      <c r="AO60" s="548"/>
    </row>
    <row r="61" spans="1:41" ht="15.75">
      <c r="A61" s="386"/>
      <c r="B61" s="385"/>
      <c r="E61" s="547"/>
      <c r="F61" s="547"/>
      <c r="G61" s="547"/>
      <c r="H61" s="547"/>
      <c r="I61" s="547"/>
      <c r="J61" s="547"/>
      <c r="K61" s="547"/>
      <c r="L61" s="385"/>
      <c r="M61" s="547"/>
      <c r="N61" s="547"/>
      <c r="O61" s="547"/>
      <c r="P61" s="547"/>
      <c r="Q61" s="547"/>
      <c r="R61" s="385"/>
      <c r="S61" s="385"/>
      <c r="T61" s="385"/>
      <c r="U61" s="385"/>
      <c r="V61" s="385"/>
      <c r="W61" s="548"/>
      <c r="X61" s="548"/>
      <c r="Y61" s="548"/>
      <c r="Z61" s="548"/>
      <c r="AA61" s="548"/>
      <c r="AB61" s="548"/>
      <c r="AC61" s="548"/>
      <c r="AD61" s="548"/>
      <c r="AE61" s="548"/>
      <c r="AF61" s="548"/>
      <c r="AG61" s="548"/>
      <c r="AH61" s="548"/>
      <c r="AI61" s="548"/>
      <c r="AJ61" s="548"/>
      <c r="AK61" s="548"/>
      <c r="AL61" s="548"/>
      <c r="AM61" s="548"/>
      <c r="AN61" s="548"/>
      <c r="AO61" s="548"/>
    </row>
    <row r="62" spans="1:41" ht="15.75">
      <c r="A62" s="386"/>
      <c r="B62" s="385"/>
      <c r="E62" s="547"/>
      <c r="F62" s="547"/>
      <c r="G62" s="547"/>
      <c r="H62" s="547"/>
      <c r="I62" s="547"/>
      <c r="J62" s="547"/>
      <c r="K62" s="547"/>
      <c r="L62" s="385"/>
      <c r="M62" s="547"/>
      <c r="N62" s="547"/>
      <c r="O62" s="547"/>
      <c r="P62" s="547"/>
      <c r="Q62" s="547"/>
      <c r="R62" s="385"/>
      <c r="S62" s="385"/>
      <c r="T62" s="385"/>
      <c r="U62" s="385"/>
      <c r="V62" s="385"/>
      <c r="W62" s="548"/>
      <c r="X62" s="548"/>
      <c r="Y62" s="548"/>
      <c r="Z62" s="548"/>
      <c r="AA62" s="548"/>
      <c r="AB62" s="548"/>
      <c r="AC62" s="548"/>
      <c r="AD62" s="548"/>
      <c r="AE62" s="548"/>
      <c r="AF62" s="548"/>
      <c r="AG62" s="548"/>
      <c r="AH62" s="548"/>
      <c r="AI62" s="548"/>
      <c r="AJ62" s="548"/>
      <c r="AK62" s="548"/>
      <c r="AL62" s="548"/>
      <c r="AM62" s="548"/>
      <c r="AN62" s="548"/>
      <c r="AO62" s="548"/>
    </row>
    <row r="63" spans="1:41" ht="15.75">
      <c r="A63" s="386"/>
      <c r="B63" s="385"/>
      <c r="E63" s="547"/>
      <c r="F63" s="547"/>
      <c r="G63" s="547"/>
      <c r="H63" s="547"/>
      <c r="I63" s="547"/>
      <c r="J63" s="547"/>
      <c r="K63" s="547"/>
      <c r="L63" s="385"/>
      <c r="M63" s="547"/>
      <c r="N63" s="547"/>
      <c r="O63" s="547"/>
      <c r="P63" s="547"/>
      <c r="Q63" s="547"/>
      <c r="R63" s="385"/>
      <c r="S63" s="385"/>
      <c r="T63" s="385"/>
      <c r="U63" s="385"/>
      <c r="V63" s="385"/>
      <c r="W63" s="548"/>
      <c r="X63" s="548"/>
      <c r="Y63" s="548"/>
      <c r="Z63" s="548"/>
      <c r="AA63" s="548"/>
      <c r="AB63" s="548"/>
      <c r="AC63" s="548"/>
      <c r="AD63" s="548"/>
      <c r="AE63" s="548"/>
      <c r="AF63" s="548"/>
      <c r="AG63" s="548"/>
      <c r="AH63" s="548"/>
      <c r="AI63" s="548"/>
      <c r="AJ63" s="548"/>
      <c r="AK63" s="548"/>
      <c r="AL63" s="548"/>
      <c r="AM63" s="548"/>
      <c r="AN63" s="548"/>
      <c r="AO63" s="548"/>
    </row>
    <row r="64" spans="1:41" ht="15.75">
      <c r="A64" s="386"/>
      <c r="B64" s="385"/>
      <c r="E64" s="547"/>
      <c r="F64" s="547"/>
      <c r="G64" s="547"/>
      <c r="H64" s="547"/>
      <c r="I64" s="547"/>
      <c r="J64" s="547"/>
      <c r="K64" s="547"/>
      <c r="L64" s="385"/>
      <c r="M64" s="547"/>
      <c r="N64" s="547"/>
      <c r="O64" s="547"/>
      <c r="P64" s="547"/>
      <c r="Q64" s="547"/>
      <c r="R64" s="385"/>
      <c r="S64" s="385"/>
      <c r="T64" s="385"/>
      <c r="U64" s="385"/>
      <c r="V64" s="385"/>
      <c r="W64" s="548"/>
      <c r="X64" s="548"/>
      <c r="Y64" s="548"/>
      <c r="Z64" s="548"/>
      <c r="AA64" s="548"/>
      <c r="AB64" s="548"/>
      <c r="AC64" s="548"/>
      <c r="AD64" s="548"/>
      <c r="AE64" s="548"/>
      <c r="AF64" s="548"/>
      <c r="AG64" s="548"/>
      <c r="AH64" s="548"/>
      <c r="AI64" s="548"/>
      <c r="AJ64" s="548"/>
      <c r="AK64" s="548"/>
      <c r="AL64" s="548"/>
      <c r="AM64" s="548"/>
      <c r="AN64" s="548"/>
      <c r="AO64" s="548"/>
    </row>
    <row r="65" spans="1:41" ht="15.75">
      <c r="A65" s="386"/>
      <c r="B65" s="385"/>
      <c r="E65" s="547"/>
      <c r="F65" s="547"/>
      <c r="G65" s="547"/>
      <c r="H65" s="547"/>
      <c r="I65" s="547"/>
      <c r="J65" s="547"/>
      <c r="K65" s="547"/>
      <c r="L65" s="385"/>
      <c r="M65" s="547"/>
      <c r="N65" s="547"/>
      <c r="O65" s="547"/>
      <c r="P65" s="547"/>
      <c r="Q65" s="547"/>
      <c r="R65" s="385"/>
      <c r="S65" s="385"/>
      <c r="T65" s="385"/>
      <c r="U65" s="385"/>
      <c r="V65" s="385"/>
      <c r="W65" s="548"/>
      <c r="X65" s="548"/>
      <c r="Y65" s="548"/>
      <c r="Z65" s="548"/>
      <c r="AA65" s="548"/>
      <c r="AB65" s="548"/>
      <c r="AC65" s="548"/>
      <c r="AD65" s="548"/>
      <c r="AE65" s="548"/>
      <c r="AF65" s="548"/>
      <c r="AG65" s="548"/>
      <c r="AH65" s="548"/>
      <c r="AI65" s="548"/>
      <c r="AJ65" s="548"/>
      <c r="AK65" s="548"/>
      <c r="AL65" s="548"/>
      <c r="AM65" s="548"/>
      <c r="AN65" s="548"/>
      <c r="AO65" s="548"/>
    </row>
    <row r="66" spans="1:41" ht="15.75">
      <c r="A66" s="386"/>
      <c r="B66" s="385"/>
      <c r="E66" s="547"/>
      <c r="F66" s="547"/>
      <c r="G66" s="547"/>
      <c r="H66" s="547"/>
      <c r="I66" s="547"/>
      <c r="J66" s="547"/>
      <c r="K66" s="547"/>
      <c r="L66" s="385"/>
      <c r="M66" s="547"/>
      <c r="N66" s="547"/>
      <c r="O66" s="547"/>
      <c r="P66" s="547"/>
      <c r="Q66" s="547"/>
      <c r="R66" s="385"/>
      <c r="S66" s="385"/>
      <c r="T66" s="385"/>
      <c r="U66" s="385"/>
      <c r="V66" s="385"/>
      <c r="W66" s="548"/>
      <c r="X66" s="548"/>
      <c r="Y66" s="548"/>
      <c r="Z66" s="548"/>
      <c r="AA66" s="548"/>
      <c r="AB66" s="548"/>
      <c r="AC66" s="548"/>
      <c r="AD66" s="548"/>
      <c r="AE66" s="548"/>
      <c r="AF66" s="548"/>
      <c r="AG66" s="548"/>
      <c r="AH66" s="548"/>
      <c r="AI66" s="548"/>
      <c r="AJ66" s="548"/>
      <c r="AK66" s="548"/>
      <c r="AL66" s="548"/>
      <c r="AM66" s="548"/>
      <c r="AN66" s="548"/>
      <c r="AO66" s="548"/>
    </row>
    <row r="67" spans="1:41" ht="15.75">
      <c r="A67" s="386"/>
      <c r="B67" s="385"/>
      <c r="E67" s="547"/>
      <c r="F67" s="547"/>
      <c r="G67" s="547"/>
      <c r="H67" s="547"/>
      <c r="I67" s="547"/>
      <c r="J67" s="547"/>
      <c r="K67" s="547"/>
      <c r="L67" s="385"/>
      <c r="M67" s="547"/>
      <c r="N67" s="547"/>
      <c r="O67" s="547"/>
      <c r="P67" s="547"/>
      <c r="Q67" s="547"/>
      <c r="R67" s="385"/>
      <c r="S67" s="385"/>
      <c r="T67" s="385"/>
      <c r="U67" s="385"/>
      <c r="V67" s="385"/>
      <c r="W67" s="548"/>
      <c r="X67" s="548"/>
      <c r="Y67" s="548"/>
      <c r="Z67" s="548"/>
      <c r="AA67" s="548"/>
      <c r="AB67" s="548"/>
      <c r="AC67" s="548"/>
      <c r="AD67" s="548"/>
      <c r="AE67" s="548"/>
      <c r="AF67" s="548"/>
      <c r="AG67" s="548"/>
      <c r="AH67" s="548"/>
      <c r="AI67" s="548"/>
      <c r="AJ67" s="548"/>
      <c r="AK67" s="548"/>
      <c r="AL67" s="548"/>
      <c r="AM67" s="548"/>
      <c r="AN67" s="548"/>
      <c r="AO67" s="548"/>
    </row>
    <row r="68" spans="1:41" ht="15.75">
      <c r="A68" s="386"/>
      <c r="B68" s="385"/>
      <c r="E68" s="547"/>
      <c r="F68" s="547"/>
      <c r="G68" s="547"/>
      <c r="H68" s="547"/>
      <c r="I68" s="547"/>
      <c r="J68" s="547"/>
      <c r="K68" s="547"/>
      <c r="L68" s="385"/>
      <c r="M68" s="547"/>
      <c r="N68" s="547"/>
      <c r="O68" s="547"/>
      <c r="P68" s="547"/>
      <c r="Q68" s="547"/>
      <c r="R68" s="385"/>
      <c r="S68" s="385"/>
      <c r="T68" s="385"/>
      <c r="U68" s="385"/>
      <c r="V68" s="385"/>
      <c r="W68" s="548"/>
      <c r="X68" s="548"/>
      <c r="Y68" s="548"/>
      <c r="Z68" s="548"/>
      <c r="AA68" s="548"/>
      <c r="AB68" s="548"/>
      <c r="AC68" s="548"/>
      <c r="AD68" s="548"/>
      <c r="AE68" s="548"/>
      <c r="AF68" s="548"/>
      <c r="AG68" s="548"/>
      <c r="AH68" s="548"/>
      <c r="AI68" s="548"/>
      <c r="AJ68" s="548"/>
      <c r="AK68" s="548"/>
      <c r="AL68" s="548"/>
      <c r="AM68" s="548"/>
      <c r="AN68" s="548"/>
      <c r="AO68" s="548"/>
    </row>
    <row r="69" spans="1:41" ht="15.75">
      <c r="A69" s="386"/>
      <c r="B69" s="385"/>
      <c r="E69" s="547"/>
      <c r="F69" s="547"/>
      <c r="G69" s="547"/>
      <c r="H69" s="547"/>
      <c r="I69" s="547"/>
      <c r="J69" s="547"/>
      <c r="K69" s="547"/>
      <c r="L69" s="385"/>
      <c r="M69" s="547"/>
      <c r="N69" s="547"/>
      <c r="O69" s="547"/>
      <c r="P69" s="547"/>
      <c r="Q69" s="547"/>
      <c r="R69" s="385"/>
      <c r="S69" s="385"/>
      <c r="T69" s="385"/>
      <c r="U69" s="385"/>
      <c r="V69" s="385"/>
      <c r="W69" s="548"/>
      <c r="X69" s="548"/>
      <c r="Y69" s="548"/>
      <c r="Z69" s="548"/>
      <c r="AA69" s="548"/>
      <c r="AB69" s="548"/>
      <c r="AC69" s="548"/>
      <c r="AD69" s="548"/>
      <c r="AE69" s="548"/>
      <c r="AF69" s="548"/>
      <c r="AG69" s="548"/>
      <c r="AH69" s="548"/>
      <c r="AI69" s="548"/>
      <c r="AJ69" s="548"/>
      <c r="AK69" s="548"/>
      <c r="AL69" s="548"/>
      <c r="AM69" s="548"/>
      <c r="AN69" s="548"/>
      <c r="AO69" s="548"/>
    </row>
    <row r="70" spans="1:41" ht="15.75">
      <c r="A70" s="386"/>
      <c r="B70" s="385"/>
      <c r="E70" s="547"/>
      <c r="F70" s="547"/>
      <c r="G70" s="547"/>
      <c r="H70" s="547"/>
      <c r="I70" s="547"/>
      <c r="J70" s="547"/>
      <c r="K70" s="547"/>
      <c r="L70" s="385"/>
      <c r="M70" s="547"/>
      <c r="N70" s="547"/>
      <c r="O70" s="547"/>
      <c r="P70" s="547"/>
      <c r="Q70" s="547"/>
      <c r="R70" s="385"/>
      <c r="S70" s="385"/>
      <c r="T70" s="385"/>
      <c r="U70" s="385"/>
      <c r="V70" s="385"/>
      <c r="W70" s="548"/>
      <c r="X70" s="548"/>
      <c r="Y70" s="548"/>
      <c r="Z70" s="548"/>
      <c r="AA70" s="548"/>
      <c r="AB70" s="548"/>
      <c r="AC70" s="548"/>
      <c r="AD70" s="548"/>
      <c r="AE70" s="548"/>
      <c r="AF70" s="548"/>
      <c r="AG70" s="548"/>
      <c r="AH70" s="548"/>
      <c r="AI70" s="548"/>
      <c r="AJ70" s="548"/>
      <c r="AK70" s="548"/>
      <c r="AL70" s="548"/>
      <c r="AM70" s="548"/>
      <c r="AN70" s="548"/>
      <c r="AO70" s="548"/>
    </row>
    <row r="71" spans="1:41" ht="15.75">
      <c r="A71" s="386"/>
      <c r="B71" s="385"/>
      <c r="E71" s="547"/>
      <c r="F71" s="547"/>
      <c r="G71" s="547"/>
      <c r="H71" s="547"/>
      <c r="I71" s="547"/>
      <c r="J71" s="547"/>
      <c r="K71" s="547"/>
      <c r="L71" s="385"/>
      <c r="M71" s="547"/>
      <c r="N71" s="547"/>
      <c r="O71" s="547"/>
      <c r="P71" s="547"/>
      <c r="Q71" s="547"/>
      <c r="R71" s="385"/>
      <c r="S71" s="385"/>
      <c r="T71" s="385"/>
      <c r="U71" s="385"/>
      <c r="V71" s="385"/>
      <c r="W71" s="548"/>
      <c r="X71" s="548"/>
      <c r="Y71" s="548"/>
      <c r="Z71" s="548"/>
      <c r="AA71" s="548"/>
      <c r="AB71" s="548"/>
      <c r="AC71" s="548"/>
      <c r="AD71" s="548"/>
      <c r="AE71" s="548"/>
      <c r="AF71" s="548"/>
      <c r="AG71" s="548"/>
      <c r="AH71" s="548"/>
      <c r="AI71" s="548"/>
      <c r="AJ71" s="548"/>
      <c r="AK71" s="548"/>
      <c r="AL71" s="548"/>
      <c r="AM71" s="548"/>
      <c r="AN71" s="548"/>
      <c r="AO71" s="548"/>
    </row>
    <row r="72" spans="1:41" ht="15.75">
      <c r="A72" s="386"/>
      <c r="B72" s="385"/>
      <c r="E72" s="547"/>
      <c r="F72" s="547"/>
      <c r="G72" s="547"/>
      <c r="H72" s="547"/>
      <c r="I72" s="547"/>
      <c r="J72" s="547"/>
      <c r="K72" s="547"/>
      <c r="L72" s="385"/>
      <c r="M72" s="547"/>
      <c r="N72" s="547"/>
      <c r="O72" s="547"/>
      <c r="P72" s="547"/>
      <c r="Q72" s="547"/>
      <c r="R72" s="385"/>
      <c r="S72" s="385"/>
      <c r="T72" s="385"/>
      <c r="U72" s="385"/>
      <c r="V72" s="385"/>
      <c r="W72" s="548"/>
      <c r="X72" s="548"/>
      <c r="Y72" s="548"/>
      <c r="Z72" s="548"/>
      <c r="AA72" s="548"/>
      <c r="AB72" s="548"/>
      <c r="AC72" s="548"/>
      <c r="AD72" s="548"/>
      <c r="AE72" s="548"/>
      <c r="AF72" s="548"/>
      <c r="AG72" s="548"/>
      <c r="AH72" s="548"/>
      <c r="AI72" s="548"/>
      <c r="AJ72" s="548"/>
      <c r="AK72" s="548"/>
      <c r="AL72" s="548"/>
      <c r="AM72" s="548"/>
      <c r="AN72" s="548"/>
      <c r="AO72" s="548"/>
    </row>
    <row r="73" spans="1:41" ht="15.75">
      <c r="A73" s="386"/>
      <c r="B73" s="385"/>
      <c r="E73" s="547"/>
      <c r="F73" s="547"/>
      <c r="G73" s="547"/>
      <c r="H73" s="547"/>
      <c r="I73" s="547"/>
      <c r="J73" s="547"/>
      <c r="K73" s="547"/>
      <c r="L73" s="385"/>
      <c r="M73" s="547"/>
      <c r="N73" s="547"/>
      <c r="O73" s="547"/>
      <c r="P73" s="547"/>
      <c r="Q73" s="547"/>
      <c r="R73" s="385"/>
      <c r="S73" s="385"/>
      <c r="T73" s="385"/>
      <c r="U73" s="385"/>
      <c r="V73" s="385"/>
      <c r="W73" s="548"/>
      <c r="X73" s="548"/>
      <c r="Y73" s="548"/>
      <c r="Z73" s="548"/>
      <c r="AA73" s="548"/>
      <c r="AB73" s="548"/>
      <c r="AC73" s="548"/>
      <c r="AD73" s="548"/>
      <c r="AE73" s="548"/>
      <c r="AF73" s="548"/>
      <c r="AG73" s="548"/>
      <c r="AH73" s="548"/>
      <c r="AI73" s="548"/>
      <c r="AJ73" s="548"/>
      <c r="AK73" s="548"/>
      <c r="AL73" s="548"/>
      <c r="AM73" s="548"/>
      <c r="AN73" s="548"/>
      <c r="AO73" s="548"/>
    </row>
    <row r="74" spans="1:41" ht="15.75">
      <c r="A74" s="386"/>
      <c r="B74" s="385"/>
      <c r="E74" s="547"/>
      <c r="F74" s="547"/>
      <c r="G74" s="547"/>
      <c r="H74" s="547"/>
      <c r="I74" s="547"/>
      <c r="J74" s="547"/>
      <c r="K74" s="547"/>
      <c r="L74" s="385"/>
      <c r="M74" s="547"/>
      <c r="N74" s="547"/>
      <c r="O74" s="547"/>
      <c r="P74" s="547"/>
      <c r="Q74" s="547"/>
      <c r="R74" s="385"/>
      <c r="S74" s="385"/>
      <c r="T74" s="385"/>
      <c r="U74" s="385"/>
      <c r="V74" s="385"/>
      <c r="W74" s="548"/>
      <c r="X74" s="548"/>
      <c r="Y74" s="548"/>
      <c r="Z74" s="548"/>
      <c r="AA74" s="548"/>
      <c r="AB74" s="548"/>
      <c r="AC74" s="548"/>
      <c r="AD74" s="548"/>
      <c r="AE74" s="548"/>
      <c r="AF74" s="548"/>
      <c r="AG74" s="548"/>
      <c r="AH74" s="548"/>
      <c r="AI74" s="548"/>
      <c r="AJ74" s="548"/>
      <c r="AK74" s="548"/>
      <c r="AL74" s="548"/>
      <c r="AM74" s="548"/>
      <c r="AN74" s="548"/>
      <c r="AO74" s="548"/>
    </row>
    <row r="75" spans="1:41" ht="15.75">
      <c r="A75" s="386"/>
      <c r="B75" s="385"/>
      <c r="E75" s="547"/>
      <c r="F75" s="547"/>
      <c r="G75" s="547"/>
      <c r="H75" s="547"/>
      <c r="I75" s="547"/>
      <c r="J75" s="547"/>
      <c r="K75" s="547"/>
      <c r="L75" s="385"/>
      <c r="M75" s="547"/>
      <c r="N75" s="547"/>
      <c r="O75" s="547"/>
      <c r="P75" s="547"/>
      <c r="Q75" s="547"/>
      <c r="R75" s="385"/>
      <c r="S75" s="385"/>
      <c r="T75" s="385"/>
      <c r="U75" s="385"/>
      <c r="V75" s="385"/>
      <c r="W75" s="548"/>
      <c r="X75" s="548"/>
      <c r="Y75" s="548"/>
      <c r="Z75" s="548"/>
      <c r="AA75" s="548"/>
      <c r="AB75" s="548"/>
      <c r="AC75" s="548"/>
      <c r="AD75" s="548"/>
      <c r="AE75" s="548"/>
      <c r="AF75" s="548"/>
      <c r="AG75" s="548"/>
      <c r="AH75" s="548"/>
      <c r="AI75" s="548"/>
      <c r="AJ75" s="548"/>
      <c r="AK75" s="548"/>
      <c r="AL75" s="548"/>
      <c r="AM75" s="548"/>
      <c r="AN75" s="548"/>
      <c r="AO75" s="548"/>
    </row>
    <row r="76" spans="1:41" ht="15.75">
      <c r="A76" s="386"/>
      <c r="B76" s="385"/>
      <c r="E76" s="547"/>
      <c r="F76" s="547"/>
      <c r="G76" s="547"/>
      <c r="H76" s="547"/>
      <c r="I76" s="547"/>
      <c r="J76" s="547"/>
      <c r="K76" s="547"/>
      <c r="L76" s="385"/>
      <c r="M76" s="547"/>
      <c r="N76" s="547"/>
      <c r="O76" s="547"/>
      <c r="P76" s="547"/>
      <c r="Q76" s="547"/>
      <c r="R76" s="385"/>
      <c r="S76" s="385"/>
      <c r="T76" s="385"/>
      <c r="U76" s="385"/>
      <c r="V76" s="385"/>
      <c r="W76" s="548"/>
      <c r="X76" s="548"/>
      <c r="Y76" s="548"/>
      <c r="Z76" s="548"/>
      <c r="AA76" s="548"/>
      <c r="AB76" s="548"/>
      <c r="AC76" s="548"/>
      <c r="AD76" s="548"/>
      <c r="AE76" s="548"/>
      <c r="AF76" s="548"/>
      <c r="AG76" s="548"/>
      <c r="AH76" s="548"/>
      <c r="AI76" s="548"/>
      <c r="AJ76" s="548"/>
      <c r="AK76" s="548"/>
      <c r="AL76" s="548"/>
      <c r="AM76" s="548"/>
      <c r="AN76" s="548"/>
      <c r="AO76" s="548"/>
    </row>
    <row r="77" spans="1:41" ht="15.75">
      <c r="A77" s="386"/>
      <c r="B77" s="385"/>
      <c r="E77" s="547"/>
      <c r="F77" s="547"/>
      <c r="G77" s="547"/>
      <c r="H77" s="547"/>
      <c r="I77" s="547"/>
      <c r="J77" s="547"/>
      <c r="K77" s="547"/>
      <c r="L77" s="385"/>
      <c r="M77" s="547"/>
      <c r="N77" s="547"/>
      <c r="O77" s="547"/>
      <c r="P77" s="547"/>
      <c r="Q77" s="547"/>
      <c r="R77" s="385"/>
      <c r="S77" s="385"/>
      <c r="T77" s="385"/>
      <c r="U77" s="385"/>
      <c r="V77" s="385"/>
      <c r="W77" s="548"/>
      <c r="X77" s="548"/>
      <c r="Y77" s="548"/>
      <c r="Z77" s="548"/>
      <c r="AA77" s="548"/>
      <c r="AB77" s="548"/>
      <c r="AC77" s="548"/>
      <c r="AD77" s="548"/>
      <c r="AE77" s="548"/>
      <c r="AF77" s="548"/>
      <c r="AG77" s="548"/>
      <c r="AH77" s="548"/>
      <c r="AI77" s="548"/>
      <c r="AJ77" s="548"/>
      <c r="AK77" s="548"/>
      <c r="AL77" s="548"/>
      <c r="AM77" s="548"/>
      <c r="AN77" s="548"/>
      <c r="AO77" s="548"/>
    </row>
    <row r="78" spans="1:41" ht="15.75">
      <c r="A78" s="386"/>
      <c r="B78" s="385"/>
      <c r="E78" s="547"/>
      <c r="F78" s="547"/>
      <c r="G78" s="547"/>
      <c r="H78" s="547"/>
      <c r="I78" s="547"/>
      <c r="J78" s="547"/>
      <c r="K78" s="547"/>
      <c r="L78" s="385"/>
      <c r="M78" s="547"/>
      <c r="N78" s="547"/>
      <c r="O78" s="547"/>
      <c r="P78" s="547"/>
      <c r="Q78" s="547"/>
      <c r="R78" s="385"/>
      <c r="S78" s="385"/>
      <c r="T78" s="385"/>
      <c r="U78" s="385"/>
      <c r="V78" s="385"/>
      <c r="W78" s="548"/>
      <c r="X78" s="548"/>
      <c r="Y78" s="548"/>
      <c r="Z78" s="548"/>
      <c r="AA78" s="548"/>
      <c r="AB78" s="548"/>
      <c r="AC78" s="548"/>
      <c r="AD78" s="548"/>
      <c r="AE78" s="548"/>
      <c r="AF78" s="548"/>
      <c r="AG78" s="548"/>
      <c r="AH78" s="548"/>
      <c r="AI78" s="548"/>
      <c r="AJ78" s="548"/>
      <c r="AK78" s="548"/>
      <c r="AL78" s="548"/>
      <c r="AM78" s="548"/>
      <c r="AN78" s="548"/>
      <c r="AO78" s="548"/>
    </row>
    <row r="79" spans="1:41" ht="15.75">
      <c r="A79" s="386"/>
      <c r="B79" s="385"/>
      <c r="E79" s="547"/>
      <c r="F79" s="547"/>
      <c r="G79" s="547"/>
      <c r="H79" s="547"/>
      <c r="I79" s="547"/>
      <c r="J79" s="547"/>
      <c r="K79" s="547"/>
      <c r="L79" s="385"/>
      <c r="M79" s="547"/>
      <c r="N79" s="547"/>
      <c r="O79" s="547"/>
      <c r="P79" s="547"/>
      <c r="Q79" s="547"/>
      <c r="R79" s="385"/>
      <c r="S79" s="385"/>
      <c r="T79" s="385"/>
      <c r="U79" s="385"/>
      <c r="V79" s="385"/>
      <c r="W79" s="548"/>
      <c r="X79" s="548"/>
      <c r="Y79" s="548"/>
      <c r="Z79" s="548"/>
      <c r="AA79" s="548"/>
      <c r="AB79" s="548"/>
      <c r="AC79" s="548"/>
      <c r="AD79" s="548"/>
      <c r="AE79" s="548"/>
      <c r="AF79" s="548"/>
      <c r="AG79" s="548"/>
      <c r="AH79" s="548"/>
      <c r="AI79" s="548"/>
      <c r="AJ79" s="548"/>
      <c r="AK79" s="548"/>
      <c r="AL79" s="548"/>
      <c r="AM79" s="548"/>
      <c r="AN79" s="548"/>
      <c r="AO79" s="548"/>
    </row>
    <row r="80" spans="1:41" ht="15.75">
      <c r="A80" s="386"/>
      <c r="B80" s="385"/>
      <c r="E80" s="547"/>
      <c r="F80" s="547"/>
      <c r="G80" s="547"/>
      <c r="H80" s="547"/>
      <c r="I80" s="547"/>
      <c r="J80" s="547"/>
      <c r="K80" s="547"/>
      <c r="L80" s="385"/>
      <c r="M80" s="547"/>
      <c r="N80" s="547"/>
      <c r="O80" s="547"/>
      <c r="P80" s="547"/>
      <c r="Q80" s="547"/>
      <c r="R80" s="385"/>
      <c r="S80" s="385"/>
      <c r="T80" s="385"/>
      <c r="U80" s="385"/>
      <c r="V80" s="385"/>
      <c r="W80" s="548"/>
      <c r="X80" s="548"/>
      <c r="Y80" s="548"/>
      <c r="Z80" s="548"/>
      <c r="AA80" s="548"/>
      <c r="AB80" s="548"/>
      <c r="AC80" s="548"/>
      <c r="AD80" s="548"/>
      <c r="AE80" s="548"/>
      <c r="AF80" s="548"/>
      <c r="AG80" s="548"/>
      <c r="AH80" s="548"/>
      <c r="AI80" s="548"/>
      <c r="AJ80" s="548"/>
      <c r="AK80" s="548"/>
      <c r="AL80" s="548"/>
      <c r="AM80" s="548"/>
      <c r="AN80" s="548"/>
      <c r="AO80" s="548"/>
    </row>
    <row r="81" spans="1:41" ht="15.75">
      <c r="A81" s="386"/>
      <c r="B81" s="385"/>
      <c r="E81" s="547"/>
      <c r="F81" s="547"/>
      <c r="G81" s="547"/>
      <c r="H81" s="547"/>
      <c r="I81" s="547"/>
      <c r="J81" s="547"/>
      <c r="K81" s="547"/>
      <c r="L81" s="385"/>
      <c r="M81" s="547"/>
      <c r="N81" s="547"/>
      <c r="O81" s="547"/>
      <c r="P81" s="547"/>
      <c r="Q81" s="547"/>
      <c r="R81" s="385"/>
      <c r="S81" s="385"/>
      <c r="T81" s="385"/>
      <c r="U81" s="385"/>
      <c r="V81" s="385"/>
      <c r="W81" s="548"/>
      <c r="X81" s="548"/>
      <c r="Y81" s="548"/>
      <c r="Z81" s="548"/>
      <c r="AA81" s="548"/>
      <c r="AB81" s="548"/>
      <c r="AC81" s="548"/>
      <c r="AD81" s="548"/>
      <c r="AE81" s="548"/>
      <c r="AF81" s="548"/>
      <c r="AG81" s="548"/>
      <c r="AH81" s="548"/>
      <c r="AI81" s="548"/>
      <c r="AJ81" s="548"/>
      <c r="AK81" s="548"/>
      <c r="AL81" s="548"/>
      <c r="AM81" s="548"/>
      <c r="AN81" s="548"/>
      <c r="AO81" s="548"/>
    </row>
    <row r="82" spans="1:41" ht="15.75">
      <c r="A82" s="386"/>
      <c r="B82" s="385"/>
      <c r="E82" s="547"/>
      <c r="F82" s="547"/>
      <c r="G82" s="547"/>
      <c r="H82" s="547"/>
      <c r="I82" s="547"/>
      <c r="J82" s="547"/>
      <c r="K82" s="547"/>
      <c r="L82" s="385"/>
      <c r="M82" s="547"/>
      <c r="N82" s="547"/>
      <c r="O82" s="547"/>
      <c r="P82" s="547"/>
      <c r="Q82" s="547"/>
      <c r="R82" s="385"/>
      <c r="S82" s="385"/>
      <c r="T82" s="385"/>
      <c r="U82" s="385"/>
      <c r="V82" s="385"/>
      <c r="W82" s="548"/>
      <c r="X82" s="548"/>
      <c r="Y82" s="548"/>
      <c r="Z82" s="548"/>
      <c r="AA82" s="548"/>
      <c r="AB82" s="548"/>
      <c r="AC82" s="548"/>
      <c r="AD82" s="548"/>
      <c r="AE82" s="548"/>
      <c r="AF82" s="548"/>
      <c r="AG82" s="548"/>
      <c r="AH82" s="548"/>
      <c r="AI82" s="548"/>
      <c r="AJ82" s="548"/>
      <c r="AK82" s="548"/>
      <c r="AL82" s="548"/>
      <c r="AM82" s="548"/>
      <c r="AN82" s="548"/>
      <c r="AO82" s="548"/>
    </row>
    <row r="83" spans="1:41" ht="15.75">
      <c r="A83" s="386"/>
      <c r="B83" s="385"/>
      <c r="E83" s="547"/>
      <c r="F83" s="547"/>
      <c r="G83" s="547"/>
      <c r="H83" s="547"/>
      <c r="I83" s="547"/>
      <c r="J83" s="547"/>
      <c r="K83" s="547"/>
      <c r="L83" s="385"/>
      <c r="M83" s="547"/>
      <c r="N83" s="547"/>
      <c r="O83" s="547"/>
      <c r="P83" s="547"/>
      <c r="Q83" s="547"/>
      <c r="R83" s="385"/>
      <c r="S83" s="385"/>
      <c r="T83" s="385"/>
      <c r="U83" s="385"/>
      <c r="V83" s="385"/>
      <c r="W83" s="548"/>
      <c r="X83" s="548"/>
      <c r="Y83" s="548"/>
      <c r="Z83" s="548"/>
      <c r="AA83" s="548"/>
      <c r="AB83" s="548"/>
      <c r="AC83" s="548"/>
      <c r="AD83" s="548"/>
      <c r="AE83" s="548"/>
      <c r="AF83" s="548"/>
      <c r="AG83" s="548"/>
      <c r="AH83" s="548"/>
      <c r="AI83" s="548"/>
      <c r="AJ83" s="548"/>
      <c r="AK83" s="548"/>
      <c r="AL83" s="548"/>
      <c r="AM83" s="548"/>
      <c r="AN83" s="548"/>
      <c r="AO83" s="548"/>
    </row>
    <row r="84" spans="1:41" ht="15.75">
      <c r="A84" s="386"/>
      <c r="B84" s="385"/>
      <c r="E84" s="547"/>
      <c r="F84" s="547"/>
      <c r="G84" s="547"/>
      <c r="H84" s="547"/>
      <c r="I84" s="547"/>
      <c r="J84" s="547"/>
      <c r="K84" s="547"/>
      <c r="L84" s="385"/>
      <c r="M84" s="547"/>
      <c r="N84" s="547"/>
      <c r="O84" s="547"/>
      <c r="P84" s="547"/>
      <c r="Q84" s="547"/>
      <c r="R84" s="385"/>
      <c r="S84" s="385"/>
      <c r="T84" s="385"/>
      <c r="U84" s="385"/>
      <c r="V84" s="385"/>
      <c r="W84" s="548"/>
      <c r="X84" s="548"/>
      <c r="Y84" s="548"/>
      <c r="Z84" s="548"/>
      <c r="AA84" s="548"/>
      <c r="AB84" s="548"/>
      <c r="AC84" s="548"/>
      <c r="AD84" s="548"/>
      <c r="AE84" s="548"/>
      <c r="AF84" s="548"/>
      <c r="AG84" s="548"/>
      <c r="AH84" s="548"/>
      <c r="AI84" s="548"/>
      <c r="AJ84" s="548"/>
      <c r="AK84" s="548"/>
      <c r="AL84" s="548"/>
      <c r="AM84" s="548"/>
      <c r="AN84" s="548"/>
      <c r="AO84" s="548"/>
    </row>
    <row r="85" spans="1:41" ht="15.75">
      <c r="A85" s="386"/>
      <c r="B85" s="385"/>
      <c r="E85" s="547"/>
      <c r="F85" s="547"/>
      <c r="G85" s="547"/>
      <c r="H85" s="547"/>
      <c r="I85" s="547"/>
      <c r="J85" s="547"/>
      <c r="K85" s="547"/>
      <c r="L85" s="385"/>
      <c r="M85" s="547"/>
      <c r="N85" s="547"/>
      <c r="O85" s="547"/>
      <c r="P85" s="547"/>
      <c r="Q85" s="547"/>
      <c r="R85" s="385"/>
      <c r="S85" s="385"/>
      <c r="T85" s="385"/>
      <c r="U85" s="385"/>
      <c r="V85" s="385"/>
      <c r="W85" s="548"/>
      <c r="X85" s="548"/>
      <c r="Y85" s="548"/>
      <c r="Z85" s="548"/>
      <c r="AA85" s="548"/>
      <c r="AB85" s="548"/>
      <c r="AC85" s="548"/>
      <c r="AD85" s="548"/>
      <c r="AE85" s="548"/>
      <c r="AF85" s="548"/>
      <c r="AG85" s="548"/>
      <c r="AH85" s="548"/>
      <c r="AI85" s="548"/>
      <c r="AJ85" s="548"/>
      <c r="AK85" s="548"/>
      <c r="AL85" s="548"/>
      <c r="AM85" s="548"/>
      <c r="AN85" s="548"/>
      <c r="AO85" s="548"/>
    </row>
    <row r="86" spans="1:41" ht="15.75">
      <c r="A86" s="386"/>
      <c r="B86" s="385"/>
      <c r="E86" s="547"/>
      <c r="F86" s="547"/>
      <c r="G86" s="547"/>
      <c r="H86" s="547"/>
      <c r="I86" s="547"/>
      <c r="J86" s="547"/>
      <c r="K86" s="547"/>
      <c r="L86" s="385"/>
      <c r="M86" s="547"/>
      <c r="N86" s="547"/>
      <c r="O86" s="547"/>
      <c r="P86" s="547"/>
      <c r="Q86" s="547"/>
      <c r="R86" s="385"/>
      <c r="S86" s="385"/>
      <c r="T86" s="385"/>
      <c r="U86" s="385"/>
      <c r="V86" s="385"/>
      <c r="W86" s="548"/>
      <c r="X86" s="548"/>
      <c r="Y86" s="548"/>
      <c r="Z86" s="548"/>
      <c r="AA86" s="548"/>
      <c r="AB86" s="548"/>
      <c r="AC86" s="548"/>
      <c r="AD86" s="548"/>
      <c r="AE86" s="548"/>
      <c r="AF86" s="548"/>
      <c r="AG86" s="548"/>
      <c r="AH86" s="548"/>
      <c r="AI86" s="548"/>
      <c r="AJ86" s="548"/>
      <c r="AK86" s="548"/>
      <c r="AL86" s="548"/>
      <c r="AM86" s="548"/>
      <c r="AN86" s="548"/>
      <c r="AO86" s="548"/>
    </row>
    <row r="87" spans="1:41" ht="15.75">
      <c r="A87" s="386"/>
      <c r="B87" s="385"/>
      <c r="E87" s="547"/>
      <c r="F87" s="547"/>
      <c r="G87" s="547"/>
      <c r="H87" s="547"/>
      <c r="I87" s="547"/>
      <c r="J87" s="547"/>
      <c r="K87" s="547"/>
      <c r="L87" s="385"/>
      <c r="M87" s="547"/>
      <c r="N87" s="547"/>
      <c r="O87" s="547"/>
      <c r="P87" s="547"/>
      <c r="Q87" s="547"/>
      <c r="R87" s="385"/>
      <c r="S87" s="385"/>
      <c r="T87" s="385"/>
      <c r="U87" s="385"/>
      <c r="V87" s="385"/>
      <c r="W87" s="548"/>
      <c r="X87" s="548"/>
      <c r="Y87" s="548"/>
      <c r="Z87" s="548"/>
      <c r="AA87" s="548"/>
      <c r="AB87" s="548"/>
      <c r="AC87" s="548"/>
      <c r="AD87" s="548"/>
      <c r="AE87" s="548"/>
      <c r="AF87" s="548"/>
      <c r="AG87" s="548"/>
      <c r="AH87" s="548"/>
      <c r="AI87" s="548"/>
      <c r="AJ87" s="548"/>
      <c r="AK87" s="548"/>
      <c r="AL87" s="548"/>
      <c r="AM87" s="548"/>
      <c r="AN87" s="548"/>
      <c r="AO87" s="548"/>
    </row>
    <row r="88" spans="1:41" ht="15.75">
      <c r="A88" s="386"/>
      <c r="B88" s="385"/>
      <c r="E88" s="547"/>
      <c r="F88" s="547"/>
      <c r="G88" s="547"/>
      <c r="H88" s="547"/>
      <c r="I88" s="547"/>
      <c r="J88" s="547"/>
      <c r="K88" s="547"/>
      <c r="L88" s="385"/>
      <c r="M88" s="547"/>
      <c r="N88" s="547"/>
      <c r="O88" s="547"/>
      <c r="P88" s="547"/>
      <c r="Q88" s="547"/>
      <c r="R88" s="385"/>
      <c r="S88" s="385"/>
      <c r="T88" s="385"/>
      <c r="U88" s="385"/>
      <c r="V88" s="385"/>
      <c r="W88" s="548"/>
      <c r="X88" s="548"/>
      <c r="Y88" s="548"/>
      <c r="Z88" s="548"/>
      <c r="AA88" s="548"/>
      <c r="AB88" s="548"/>
      <c r="AC88" s="548"/>
      <c r="AD88" s="548"/>
      <c r="AE88" s="548"/>
      <c r="AF88" s="548"/>
      <c r="AG88" s="548"/>
      <c r="AH88" s="548"/>
      <c r="AI88" s="548"/>
      <c r="AJ88" s="548"/>
      <c r="AK88" s="548"/>
      <c r="AL88" s="548"/>
      <c r="AM88" s="548"/>
      <c r="AN88" s="548"/>
      <c r="AO88" s="548"/>
    </row>
    <row r="89" spans="1:41" ht="15.75">
      <c r="A89" s="386"/>
      <c r="B89" s="385"/>
      <c r="E89" s="547"/>
      <c r="F89" s="547"/>
      <c r="G89" s="547"/>
      <c r="H89" s="547"/>
      <c r="I89" s="547"/>
      <c r="J89" s="547"/>
      <c r="K89" s="547"/>
      <c r="L89" s="385"/>
      <c r="M89" s="547"/>
      <c r="N89" s="547"/>
      <c r="O89" s="547"/>
      <c r="P89" s="547"/>
      <c r="Q89" s="547"/>
      <c r="R89" s="385"/>
      <c r="S89" s="385"/>
      <c r="T89" s="385"/>
      <c r="U89" s="385"/>
      <c r="V89" s="385"/>
      <c r="W89" s="548"/>
      <c r="X89" s="548"/>
      <c r="Y89" s="548"/>
      <c r="Z89" s="548"/>
      <c r="AA89" s="548"/>
      <c r="AB89" s="548"/>
      <c r="AC89" s="548"/>
      <c r="AD89" s="548"/>
      <c r="AE89" s="548"/>
      <c r="AF89" s="548"/>
      <c r="AG89" s="548"/>
      <c r="AH89" s="548"/>
      <c r="AI89" s="548"/>
      <c r="AJ89" s="548"/>
      <c r="AK89" s="548"/>
      <c r="AL89" s="548"/>
      <c r="AM89" s="548"/>
      <c r="AN89" s="548"/>
      <c r="AO89" s="548"/>
    </row>
    <row r="90" spans="1:41" ht="15.75">
      <c r="A90" s="386"/>
      <c r="B90" s="385"/>
      <c r="E90" s="547"/>
      <c r="F90" s="547"/>
      <c r="G90" s="547"/>
      <c r="H90" s="547"/>
      <c r="I90" s="547"/>
      <c r="J90" s="547"/>
      <c r="K90" s="547"/>
      <c r="L90" s="385"/>
      <c r="M90" s="547"/>
      <c r="N90" s="547"/>
      <c r="O90" s="547"/>
      <c r="P90" s="547"/>
      <c r="Q90" s="547"/>
      <c r="R90" s="385"/>
      <c r="S90" s="385"/>
      <c r="T90" s="385"/>
      <c r="U90" s="385"/>
      <c r="V90" s="385"/>
      <c r="W90" s="548"/>
      <c r="X90" s="548"/>
      <c r="Y90" s="548"/>
      <c r="Z90" s="548"/>
      <c r="AA90" s="548"/>
      <c r="AB90" s="548"/>
      <c r="AC90" s="548"/>
      <c r="AD90" s="548"/>
      <c r="AE90" s="548"/>
      <c r="AF90" s="548"/>
      <c r="AG90" s="548"/>
      <c r="AH90" s="548"/>
      <c r="AI90" s="548"/>
      <c r="AJ90" s="548"/>
      <c r="AK90" s="548"/>
      <c r="AL90" s="548"/>
      <c r="AM90" s="548"/>
      <c r="AN90" s="548"/>
      <c r="AO90" s="548"/>
    </row>
    <row r="91" spans="1:41" ht="15.75">
      <c r="A91" s="386"/>
      <c r="B91" s="385"/>
      <c r="E91" s="547"/>
      <c r="F91" s="547"/>
      <c r="G91" s="547"/>
      <c r="H91" s="547"/>
      <c r="I91" s="547"/>
      <c r="J91" s="547"/>
      <c r="K91" s="547"/>
      <c r="L91" s="385"/>
      <c r="M91" s="547"/>
      <c r="N91" s="547"/>
      <c r="O91" s="547"/>
      <c r="P91" s="547"/>
      <c r="Q91" s="547"/>
      <c r="R91" s="385"/>
      <c r="S91" s="385"/>
      <c r="T91" s="385"/>
      <c r="U91" s="385"/>
      <c r="V91" s="385"/>
      <c r="W91" s="548"/>
      <c r="X91" s="548"/>
      <c r="Y91" s="548"/>
      <c r="Z91" s="548"/>
      <c r="AA91" s="548"/>
      <c r="AB91" s="548"/>
      <c r="AC91" s="548"/>
      <c r="AD91" s="548"/>
      <c r="AE91" s="548"/>
      <c r="AF91" s="548"/>
      <c r="AG91" s="548"/>
      <c r="AH91" s="548"/>
      <c r="AI91" s="548"/>
      <c r="AJ91" s="548"/>
      <c r="AK91" s="548"/>
      <c r="AL91" s="548"/>
      <c r="AM91" s="548"/>
      <c r="AN91" s="548"/>
      <c r="AO91" s="548"/>
    </row>
    <row r="92" spans="1:41" ht="15.75">
      <c r="A92" s="386"/>
      <c r="B92" s="385"/>
      <c r="E92" s="547"/>
      <c r="F92" s="547"/>
      <c r="G92" s="547"/>
      <c r="H92" s="547"/>
      <c r="I92" s="547"/>
      <c r="J92" s="547"/>
      <c r="K92" s="547"/>
      <c r="L92" s="385"/>
      <c r="M92" s="547"/>
      <c r="N92" s="547"/>
      <c r="O92" s="547"/>
      <c r="P92" s="547"/>
      <c r="Q92" s="547"/>
      <c r="R92" s="385"/>
      <c r="S92" s="385"/>
      <c r="T92" s="385"/>
      <c r="U92" s="385"/>
      <c r="V92" s="385"/>
      <c r="W92" s="548"/>
      <c r="X92" s="548"/>
      <c r="Y92" s="548"/>
      <c r="Z92" s="548"/>
      <c r="AA92" s="548"/>
      <c r="AB92" s="548"/>
      <c r="AC92" s="548"/>
      <c r="AD92" s="548"/>
      <c r="AE92" s="548"/>
      <c r="AF92" s="548"/>
      <c r="AG92" s="548"/>
      <c r="AH92" s="548"/>
      <c r="AI92" s="548"/>
      <c r="AJ92" s="548"/>
      <c r="AK92" s="548"/>
      <c r="AL92" s="548"/>
      <c r="AM92" s="548"/>
      <c r="AN92" s="548"/>
      <c r="AO92" s="548"/>
    </row>
    <row r="93" spans="1:41" ht="15.75">
      <c r="A93" s="386"/>
      <c r="B93" s="385"/>
      <c r="E93" s="547"/>
      <c r="F93" s="547"/>
      <c r="G93" s="547"/>
      <c r="H93" s="547"/>
      <c r="I93" s="547"/>
      <c r="J93" s="547"/>
      <c r="K93" s="547"/>
      <c r="L93" s="385"/>
      <c r="M93" s="547"/>
      <c r="N93" s="547"/>
      <c r="O93" s="547"/>
      <c r="P93" s="547"/>
      <c r="Q93" s="547"/>
      <c r="R93" s="385"/>
      <c r="S93" s="385"/>
      <c r="T93" s="385"/>
      <c r="U93" s="385"/>
      <c r="V93" s="385"/>
      <c r="W93" s="548"/>
      <c r="X93" s="548"/>
      <c r="Y93" s="548"/>
      <c r="Z93" s="548"/>
      <c r="AA93" s="548"/>
      <c r="AB93" s="548"/>
      <c r="AC93" s="548"/>
      <c r="AD93" s="548"/>
      <c r="AE93" s="548"/>
      <c r="AF93" s="548"/>
      <c r="AG93" s="548"/>
      <c r="AH93" s="548"/>
      <c r="AI93" s="548"/>
      <c r="AJ93" s="548"/>
      <c r="AK93" s="548"/>
      <c r="AL93" s="548"/>
      <c r="AM93" s="548"/>
      <c r="AN93" s="548"/>
      <c r="AO93" s="548"/>
    </row>
    <row r="94" spans="1:41" ht="15.75">
      <c r="A94" s="386"/>
      <c r="B94" s="385"/>
      <c r="E94" s="547"/>
      <c r="F94" s="547"/>
      <c r="G94" s="547"/>
      <c r="H94" s="547"/>
      <c r="I94" s="547"/>
      <c r="J94" s="547"/>
      <c r="K94" s="547"/>
      <c r="L94" s="385"/>
      <c r="M94" s="547"/>
      <c r="N94" s="547"/>
      <c r="O94" s="547"/>
      <c r="P94" s="547"/>
      <c r="Q94" s="547"/>
      <c r="R94" s="385"/>
      <c r="S94" s="385"/>
      <c r="T94" s="385"/>
      <c r="U94" s="385"/>
      <c r="V94" s="385"/>
      <c r="W94" s="548"/>
      <c r="X94" s="548"/>
      <c r="Y94" s="548"/>
      <c r="Z94" s="548"/>
      <c r="AA94" s="548"/>
      <c r="AB94" s="548"/>
      <c r="AC94" s="548"/>
      <c r="AD94" s="548"/>
      <c r="AE94" s="548"/>
      <c r="AF94" s="548"/>
      <c r="AG94" s="548"/>
      <c r="AH94" s="548"/>
      <c r="AI94" s="548"/>
      <c r="AJ94" s="548"/>
      <c r="AK94" s="548"/>
      <c r="AL94" s="548"/>
      <c r="AM94" s="548"/>
      <c r="AN94" s="548"/>
      <c r="AO94" s="548"/>
    </row>
    <row r="95" spans="1:41" ht="15.75">
      <c r="A95" s="386"/>
      <c r="B95" s="385"/>
      <c r="E95" s="547"/>
      <c r="F95" s="547"/>
      <c r="G95" s="547"/>
      <c r="H95" s="547"/>
      <c r="I95" s="547"/>
      <c r="J95" s="547"/>
      <c r="K95" s="547"/>
      <c r="L95" s="385"/>
      <c r="M95" s="547"/>
      <c r="N95" s="547"/>
      <c r="O95" s="547"/>
      <c r="P95" s="547"/>
      <c r="Q95" s="547"/>
      <c r="R95" s="385"/>
      <c r="S95" s="385"/>
      <c r="T95" s="385"/>
      <c r="U95" s="385"/>
      <c r="V95" s="385"/>
      <c r="W95" s="548"/>
      <c r="X95" s="548"/>
      <c r="Y95" s="548"/>
      <c r="Z95" s="548"/>
      <c r="AA95" s="548"/>
      <c r="AB95" s="548"/>
      <c r="AC95" s="548"/>
      <c r="AD95" s="548"/>
      <c r="AE95" s="548"/>
      <c r="AF95" s="548"/>
      <c r="AG95" s="548"/>
      <c r="AH95" s="548"/>
      <c r="AI95" s="548"/>
      <c r="AJ95" s="548"/>
      <c r="AK95" s="548"/>
      <c r="AL95" s="548"/>
      <c r="AM95" s="548"/>
      <c r="AN95" s="548"/>
      <c r="AO95" s="548"/>
    </row>
    <row r="96" spans="1:41" ht="15.75">
      <c r="A96" s="386"/>
      <c r="B96" s="385"/>
      <c r="E96" s="547"/>
      <c r="F96" s="547"/>
      <c r="G96" s="547"/>
      <c r="H96" s="547"/>
      <c r="I96" s="547"/>
      <c r="J96" s="547"/>
      <c r="K96" s="547"/>
      <c r="L96" s="385"/>
      <c r="M96" s="547"/>
      <c r="N96" s="547"/>
      <c r="O96" s="547"/>
      <c r="P96" s="547"/>
      <c r="Q96" s="547"/>
      <c r="R96" s="385"/>
      <c r="S96" s="385"/>
      <c r="T96" s="385"/>
      <c r="U96" s="385"/>
      <c r="V96" s="385"/>
      <c r="W96" s="548"/>
      <c r="X96" s="548"/>
      <c r="Y96" s="548"/>
      <c r="Z96" s="548"/>
      <c r="AA96" s="548"/>
      <c r="AB96" s="548"/>
      <c r="AC96" s="548"/>
      <c r="AD96" s="548"/>
      <c r="AE96" s="548"/>
      <c r="AF96" s="548"/>
      <c r="AG96" s="548"/>
      <c r="AH96" s="548"/>
      <c r="AI96" s="548"/>
      <c r="AJ96" s="548"/>
      <c r="AK96" s="548"/>
      <c r="AL96" s="548"/>
      <c r="AM96" s="548"/>
      <c r="AN96" s="548"/>
      <c r="AO96" s="548"/>
    </row>
    <row r="97" spans="1:41" ht="15.75">
      <c r="A97" s="386"/>
      <c r="B97" s="385"/>
      <c r="E97" s="547"/>
      <c r="F97" s="547"/>
      <c r="G97" s="547"/>
      <c r="H97" s="547"/>
      <c r="I97" s="547"/>
      <c r="J97" s="547"/>
      <c r="K97" s="547"/>
      <c r="L97" s="385"/>
      <c r="M97" s="547"/>
      <c r="N97" s="547"/>
      <c r="O97" s="547"/>
      <c r="P97" s="547"/>
      <c r="Q97" s="547"/>
      <c r="R97" s="385"/>
      <c r="S97" s="385"/>
      <c r="T97" s="385"/>
      <c r="U97" s="385"/>
      <c r="V97" s="385"/>
      <c r="W97" s="548"/>
      <c r="X97" s="548"/>
      <c r="Y97" s="548"/>
      <c r="Z97" s="548"/>
      <c r="AA97" s="548"/>
      <c r="AB97" s="548"/>
      <c r="AC97" s="548"/>
      <c r="AD97" s="548"/>
      <c r="AE97" s="548"/>
      <c r="AF97" s="548"/>
      <c r="AG97" s="548"/>
      <c r="AH97" s="548"/>
      <c r="AI97" s="548"/>
      <c r="AJ97" s="548"/>
      <c r="AK97" s="548"/>
      <c r="AL97" s="548"/>
      <c r="AM97" s="548"/>
      <c r="AN97" s="548"/>
      <c r="AO97" s="548"/>
    </row>
    <row r="98" spans="1:41" ht="15.75">
      <c r="A98" s="386"/>
      <c r="B98" s="385"/>
      <c r="E98" s="547"/>
      <c r="F98" s="547"/>
      <c r="G98" s="547"/>
      <c r="H98" s="547"/>
      <c r="I98" s="547"/>
      <c r="J98" s="547"/>
      <c r="K98" s="547"/>
      <c r="L98" s="385"/>
      <c r="M98" s="547"/>
      <c r="N98" s="547"/>
      <c r="O98" s="547"/>
      <c r="P98" s="547"/>
      <c r="Q98" s="547"/>
      <c r="R98" s="385"/>
      <c r="S98" s="385"/>
      <c r="T98" s="385"/>
      <c r="U98" s="385"/>
      <c r="V98" s="385"/>
      <c r="W98" s="548"/>
      <c r="X98" s="548"/>
      <c r="Y98" s="548"/>
      <c r="Z98" s="548"/>
      <c r="AA98" s="548"/>
      <c r="AB98" s="548"/>
      <c r="AC98" s="548"/>
      <c r="AD98" s="548"/>
      <c r="AE98" s="548"/>
      <c r="AF98" s="548"/>
      <c r="AG98" s="548"/>
      <c r="AH98" s="548"/>
      <c r="AI98" s="548"/>
      <c r="AJ98" s="548"/>
      <c r="AK98" s="548"/>
      <c r="AL98" s="548"/>
      <c r="AM98" s="548"/>
      <c r="AN98" s="548"/>
      <c r="AO98" s="548"/>
    </row>
    <row r="99" spans="1:41" ht="15.75">
      <c r="A99" s="386"/>
      <c r="B99" s="385"/>
      <c r="E99" s="547"/>
      <c r="F99" s="547"/>
      <c r="G99" s="547"/>
      <c r="H99" s="547"/>
      <c r="I99" s="547"/>
      <c r="J99" s="547"/>
      <c r="K99" s="547"/>
      <c r="L99" s="385"/>
      <c r="M99" s="547"/>
      <c r="N99" s="547"/>
      <c r="O99" s="547"/>
      <c r="P99" s="547"/>
      <c r="Q99" s="547"/>
      <c r="R99" s="385"/>
      <c r="S99" s="385"/>
      <c r="T99" s="385"/>
      <c r="U99" s="385"/>
      <c r="V99" s="385"/>
      <c r="W99" s="548"/>
      <c r="X99" s="548"/>
      <c r="Y99" s="548"/>
      <c r="Z99" s="548"/>
      <c r="AA99" s="548"/>
      <c r="AB99" s="548"/>
      <c r="AC99" s="548"/>
      <c r="AD99" s="548"/>
      <c r="AE99" s="548"/>
      <c r="AF99" s="548"/>
      <c r="AG99" s="548"/>
      <c r="AH99" s="548"/>
      <c r="AI99" s="548"/>
      <c r="AJ99" s="548"/>
      <c r="AK99" s="548"/>
      <c r="AL99" s="548"/>
      <c r="AM99" s="548"/>
      <c r="AN99" s="548"/>
      <c r="AO99" s="548"/>
    </row>
    <row r="100" spans="1:41">
      <c r="A100" s="515"/>
      <c r="B100" s="515"/>
      <c r="C100" s="515"/>
      <c r="D100" s="515"/>
      <c r="E100" s="515"/>
      <c r="F100" s="515"/>
      <c r="G100" s="515"/>
      <c r="H100" s="515"/>
      <c r="I100" s="515"/>
      <c r="J100" s="515"/>
      <c r="K100" s="515"/>
      <c r="L100" s="515"/>
      <c r="M100" s="515"/>
      <c r="N100" s="515"/>
      <c r="O100" s="515"/>
      <c r="P100" s="515"/>
      <c r="Q100" s="515"/>
      <c r="R100" s="515"/>
      <c r="S100" s="515"/>
      <c r="T100" s="515"/>
      <c r="U100" s="515"/>
      <c r="V100" s="515"/>
      <c r="W100" s="548"/>
      <c r="X100" s="548"/>
      <c r="Y100" s="548"/>
      <c r="Z100" s="548"/>
      <c r="AA100" s="548"/>
      <c r="AB100" s="548"/>
      <c r="AC100" s="548"/>
      <c r="AD100" s="548"/>
      <c r="AE100" s="548"/>
      <c r="AF100" s="548"/>
      <c r="AG100" s="548"/>
      <c r="AH100" s="548"/>
      <c r="AI100" s="548"/>
      <c r="AJ100" s="548"/>
      <c r="AK100" s="548"/>
      <c r="AL100" s="548"/>
      <c r="AM100" s="548"/>
      <c r="AN100" s="548"/>
      <c r="AO100" s="548"/>
    </row>
    <row r="101" spans="1:41">
      <c r="A101" s="515"/>
      <c r="B101" s="515"/>
      <c r="C101" s="515"/>
      <c r="D101" s="515"/>
      <c r="E101" s="515"/>
      <c r="F101" s="515"/>
      <c r="G101" s="515"/>
      <c r="H101" s="515"/>
      <c r="I101" s="515"/>
      <c r="J101" s="515"/>
      <c r="K101" s="515"/>
      <c r="L101" s="515"/>
      <c r="M101" s="515"/>
      <c r="N101" s="515"/>
      <c r="O101" s="515"/>
      <c r="P101" s="515"/>
      <c r="Q101" s="515"/>
      <c r="R101" s="515"/>
      <c r="S101" s="515"/>
      <c r="T101" s="515"/>
      <c r="U101" s="515"/>
      <c r="V101" s="515"/>
      <c r="W101" s="548"/>
      <c r="X101" s="548"/>
      <c r="Y101" s="548"/>
      <c r="Z101" s="548"/>
      <c r="AA101" s="548"/>
      <c r="AB101" s="548"/>
      <c r="AC101" s="548"/>
      <c r="AD101" s="548"/>
      <c r="AE101" s="548"/>
      <c r="AF101" s="548"/>
      <c r="AG101" s="548"/>
      <c r="AH101" s="548"/>
      <c r="AI101" s="548"/>
      <c r="AJ101" s="548"/>
      <c r="AK101" s="548"/>
      <c r="AL101" s="548"/>
      <c r="AM101" s="548"/>
      <c r="AN101" s="548"/>
      <c r="AO101" s="548"/>
    </row>
    <row r="102" spans="1:41">
      <c r="A102" s="515"/>
      <c r="B102" s="515"/>
      <c r="C102" s="515"/>
      <c r="D102" s="515"/>
      <c r="E102" s="515"/>
      <c r="F102" s="515"/>
      <c r="G102" s="515"/>
      <c r="H102" s="515"/>
      <c r="I102" s="515"/>
      <c r="J102" s="515"/>
      <c r="K102" s="515"/>
      <c r="L102" s="515"/>
      <c r="M102" s="515"/>
      <c r="N102" s="515"/>
      <c r="O102" s="515"/>
      <c r="P102" s="515"/>
      <c r="Q102" s="515"/>
      <c r="R102" s="515"/>
      <c r="S102" s="515"/>
      <c r="T102" s="515"/>
      <c r="U102" s="515"/>
      <c r="V102" s="515"/>
      <c r="W102" s="548"/>
      <c r="X102" s="548"/>
      <c r="Y102" s="548"/>
      <c r="Z102" s="548"/>
      <c r="AA102" s="548"/>
      <c r="AB102" s="548"/>
      <c r="AC102" s="548"/>
      <c r="AD102" s="548"/>
      <c r="AE102" s="548"/>
      <c r="AF102" s="548"/>
      <c r="AG102" s="548"/>
      <c r="AH102" s="548"/>
      <c r="AI102" s="548"/>
      <c r="AJ102" s="548"/>
      <c r="AK102" s="548"/>
      <c r="AL102" s="548"/>
      <c r="AM102" s="548"/>
      <c r="AN102" s="548"/>
      <c r="AO102" s="548"/>
    </row>
    <row r="103" spans="1:41">
      <c r="A103" s="515"/>
      <c r="B103" s="515"/>
      <c r="C103" s="515"/>
      <c r="D103" s="515"/>
      <c r="E103" s="515"/>
      <c r="F103" s="515"/>
      <c r="G103" s="515"/>
      <c r="H103" s="515"/>
      <c r="I103" s="515"/>
      <c r="J103" s="515"/>
      <c r="K103" s="515"/>
      <c r="L103" s="515"/>
      <c r="M103" s="515"/>
      <c r="N103" s="515"/>
      <c r="O103" s="515"/>
      <c r="P103" s="515"/>
      <c r="Q103" s="515"/>
      <c r="R103" s="515"/>
      <c r="S103" s="515"/>
      <c r="T103" s="515"/>
      <c r="U103" s="515"/>
      <c r="V103" s="515"/>
    </row>
    <row r="104" spans="1:41">
      <c r="A104" s="515"/>
      <c r="B104" s="515"/>
      <c r="C104" s="515"/>
      <c r="D104" s="515"/>
      <c r="E104" s="515"/>
      <c r="F104" s="515"/>
      <c r="G104" s="515"/>
      <c r="H104" s="515"/>
      <c r="I104" s="515"/>
      <c r="J104" s="515"/>
      <c r="K104" s="515"/>
      <c r="L104" s="515"/>
      <c r="M104" s="515"/>
      <c r="N104" s="515"/>
      <c r="O104" s="515"/>
      <c r="P104" s="515"/>
      <c r="Q104" s="515"/>
      <c r="R104" s="515"/>
      <c r="S104" s="515"/>
      <c r="T104" s="515"/>
      <c r="U104" s="515"/>
      <c r="V104" s="515"/>
    </row>
    <row r="105" spans="1:41">
      <c r="A105" s="515"/>
      <c r="B105" s="515"/>
      <c r="C105" s="515"/>
      <c r="D105" s="515"/>
      <c r="E105" s="515"/>
      <c r="F105" s="515"/>
      <c r="G105" s="515"/>
      <c r="H105" s="515"/>
      <c r="I105" s="515"/>
      <c r="J105" s="515"/>
      <c r="K105" s="515"/>
      <c r="L105" s="515"/>
      <c r="M105" s="515"/>
      <c r="N105" s="515"/>
      <c r="O105" s="515"/>
      <c r="P105" s="515"/>
      <c r="Q105" s="515"/>
      <c r="R105" s="515"/>
      <c r="S105" s="515"/>
      <c r="T105" s="515"/>
      <c r="U105" s="515"/>
      <c r="V105" s="515"/>
    </row>
    <row r="106" spans="1:41">
      <c r="A106" s="515"/>
      <c r="B106" s="515"/>
      <c r="C106" s="515"/>
      <c r="D106" s="515"/>
      <c r="E106" s="515"/>
      <c r="F106" s="515"/>
      <c r="G106" s="515"/>
      <c r="H106" s="515"/>
      <c r="I106" s="515"/>
      <c r="J106" s="515"/>
      <c r="K106" s="515"/>
      <c r="L106" s="515"/>
      <c r="M106" s="515"/>
      <c r="N106" s="515"/>
      <c r="O106" s="515"/>
      <c r="P106" s="515"/>
      <c r="Q106" s="515"/>
      <c r="R106" s="515"/>
      <c r="S106" s="515"/>
      <c r="T106" s="515"/>
      <c r="U106" s="515"/>
      <c r="V106" s="515"/>
    </row>
    <row r="107" spans="1:41" ht="12.75" customHeight="1">
      <c r="A107" s="515"/>
      <c r="B107" s="515"/>
      <c r="C107" s="515"/>
      <c r="D107" s="515"/>
      <c r="E107" s="515"/>
      <c r="F107" s="515"/>
      <c r="G107" s="515"/>
      <c r="H107" s="515"/>
      <c r="I107" s="515"/>
      <c r="J107" s="515"/>
      <c r="K107" s="515"/>
      <c r="L107" s="515"/>
      <c r="M107" s="515"/>
      <c r="N107" s="515"/>
      <c r="O107" s="515"/>
      <c r="P107" s="515"/>
      <c r="Q107" s="515"/>
      <c r="R107" s="515"/>
      <c r="S107" s="515"/>
      <c r="T107" s="515"/>
      <c r="U107" s="515"/>
      <c r="V107" s="515"/>
    </row>
    <row r="108" spans="1:41" ht="12.75" customHeight="1">
      <c r="A108" s="515"/>
      <c r="B108" s="515"/>
      <c r="C108" s="515"/>
      <c r="D108" s="515"/>
      <c r="E108" s="515"/>
      <c r="F108" s="515"/>
      <c r="G108" s="515"/>
      <c r="H108" s="515"/>
      <c r="I108" s="515"/>
      <c r="J108" s="515"/>
      <c r="K108" s="515"/>
      <c r="L108" s="515"/>
      <c r="M108" s="515"/>
      <c r="N108" s="515"/>
      <c r="O108" s="515"/>
      <c r="P108" s="515"/>
      <c r="Q108" s="515"/>
      <c r="R108" s="515"/>
      <c r="S108" s="515"/>
      <c r="T108" s="515"/>
      <c r="U108" s="515"/>
      <c r="V108" s="515"/>
    </row>
    <row r="109" spans="1:41" ht="12.75" customHeight="1">
      <c r="A109" s="515"/>
      <c r="B109" s="515"/>
      <c r="C109" s="515"/>
      <c r="D109" s="515"/>
      <c r="E109" s="515"/>
      <c r="F109" s="515"/>
      <c r="G109" s="515"/>
      <c r="H109" s="515"/>
      <c r="I109" s="515"/>
      <c r="J109" s="515"/>
      <c r="K109" s="515"/>
      <c r="L109" s="515"/>
      <c r="M109" s="515"/>
      <c r="N109" s="515"/>
      <c r="O109" s="515"/>
      <c r="P109" s="515"/>
      <c r="Q109" s="515"/>
      <c r="R109" s="515"/>
      <c r="S109" s="515"/>
      <c r="T109" s="515"/>
      <c r="U109" s="515"/>
      <c r="V109" s="515"/>
    </row>
    <row r="110" spans="1:41" ht="12.75" customHeight="1">
      <c r="A110" s="515"/>
      <c r="B110" s="515"/>
      <c r="C110" s="515"/>
      <c r="D110" s="515"/>
      <c r="E110" s="515"/>
      <c r="F110" s="515"/>
      <c r="G110" s="515"/>
      <c r="H110" s="515"/>
      <c r="I110" s="515"/>
      <c r="J110" s="515"/>
      <c r="K110" s="515"/>
      <c r="L110" s="515"/>
      <c r="M110" s="515"/>
      <c r="N110" s="515"/>
      <c r="O110" s="515"/>
      <c r="P110" s="515"/>
      <c r="Q110" s="515"/>
      <c r="R110" s="515"/>
      <c r="S110" s="515"/>
      <c r="T110" s="515"/>
      <c r="U110" s="515"/>
      <c r="V110" s="515"/>
    </row>
    <row r="111" spans="1:41" ht="12.75" customHeight="1">
      <c r="A111" s="515"/>
      <c r="B111" s="515"/>
      <c r="C111" s="515"/>
      <c r="D111" s="515"/>
      <c r="E111" s="515"/>
      <c r="F111" s="515"/>
      <c r="G111" s="515"/>
      <c r="H111" s="515"/>
      <c r="I111" s="515"/>
      <c r="J111" s="515"/>
      <c r="K111" s="515"/>
      <c r="L111" s="515"/>
      <c r="M111" s="515"/>
      <c r="N111" s="515"/>
      <c r="O111" s="515"/>
      <c r="P111" s="515"/>
      <c r="Q111" s="515"/>
      <c r="R111" s="515"/>
      <c r="S111" s="515"/>
      <c r="T111" s="515"/>
      <c r="U111" s="515"/>
      <c r="V111" s="515"/>
    </row>
    <row r="112" spans="1:41" ht="12.75" customHeight="1">
      <c r="A112" s="515"/>
      <c r="B112" s="515"/>
      <c r="C112" s="515"/>
      <c r="D112" s="515"/>
      <c r="E112" s="515"/>
      <c r="F112" s="515"/>
      <c r="G112" s="515"/>
      <c r="H112" s="515"/>
      <c r="I112" s="515"/>
      <c r="J112" s="515"/>
      <c r="K112" s="515"/>
      <c r="L112" s="515"/>
      <c r="M112" s="515"/>
      <c r="N112" s="515"/>
      <c r="O112" s="515"/>
      <c r="P112" s="515"/>
      <c r="Q112" s="515"/>
      <c r="R112" s="515"/>
      <c r="S112" s="515"/>
      <c r="T112" s="515"/>
      <c r="U112" s="515"/>
      <c r="V112" s="515"/>
    </row>
    <row r="113" spans="1:22" ht="12.75" customHeight="1">
      <c r="A113" s="515"/>
      <c r="B113" s="515"/>
      <c r="C113" s="515"/>
      <c r="D113" s="515"/>
      <c r="E113" s="515"/>
      <c r="F113" s="515"/>
      <c r="G113" s="515"/>
      <c r="H113" s="515"/>
      <c r="I113" s="515"/>
      <c r="J113" s="515"/>
      <c r="K113" s="515"/>
      <c r="L113" s="515"/>
      <c r="M113" s="515"/>
      <c r="N113" s="515"/>
      <c r="O113" s="515"/>
      <c r="P113" s="515"/>
      <c r="Q113" s="515"/>
      <c r="R113" s="515"/>
      <c r="S113" s="515"/>
      <c r="T113" s="515"/>
      <c r="U113" s="515"/>
      <c r="V113" s="515"/>
    </row>
    <row r="114" spans="1:22" ht="12.75" customHeight="1">
      <c r="A114" s="515"/>
      <c r="B114" s="515"/>
      <c r="C114" s="515"/>
      <c r="D114" s="515"/>
      <c r="E114" s="515"/>
      <c r="F114" s="515"/>
      <c r="G114" s="515"/>
      <c r="H114" s="515"/>
      <c r="I114" s="515"/>
      <c r="J114" s="515"/>
      <c r="K114" s="515"/>
      <c r="L114" s="515"/>
      <c r="M114" s="515"/>
      <c r="N114" s="515"/>
      <c r="O114" s="515"/>
      <c r="P114" s="515"/>
      <c r="Q114" s="515"/>
      <c r="R114" s="515"/>
      <c r="S114" s="515"/>
      <c r="T114" s="515"/>
      <c r="U114" s="515"/>
      <c r="V114" s="515"/>
    </row>
    <row r="115" spans="1:22" ht="12.75" customHeight="1">
      <c r="A115" s="515"/>
      <c r="B115" s="515"/>
      <c r="C115" s="515"/>
      <c r="D115" s="515"/>
      <c r="E115" s="515"/>
      <c r="F115" s="515"/>
      <c r="G115" s="515"/>
      <c r="H115" s="515"/>
      <c r="I115" s="515"/>
      <c r="J115" s="515"/>
      <c r="K115" s="515"/>
      <c r="L115" s="515"/>
      <c r="M115" s="515"/>
      <c r="N115" s="515"/>
      <c r="O115" s="515"/>
      <c r="P115" s="515"/>
      <c r="Q115" s="515"/>
      <c r="R115" s="515"/>
      <c r="S115" s="515"/>
      <c r="T115" s="515"/>
      <c r="U115" s="515"/>
      <c r="V115" s="515"/>
    </row>
    <row r="116" spans="1:22" ht="12.75" customHeight="1">
      <c r="A116" s="515"/>
      <c r="B116" s="515"/>
      <c r="C116" s="515"/>
      <c r="D116" s="515"/>
      <c r="E116" s="515"/>
      <c r="F116" s="515"/>
      <c r="G116" s="515"/>
      <c r="H116" s="515"/>
      <c r="I116" s="515"/>
      <c r="J116" s="515"/>
      <c r="K116" s="515"/>
      <c r="L116" s="515"/>
      <c r="M116" s="515"/>
      <c r="N116" s="515"/>
      <c r="O116" s="515"/>
      <c r="P116" s="515"/>
      <c r="Q116" s="515"/>
      <c r="R116" s="515"/>
      <c r="S116" s="515"/>
      <c r="T116" s="515"/>
      <c r="U116" s="515"/>
      <c r="V116" s="515"/>
    </row>
    <row r="117" spans="1:22" ht="12.75" customHeight="1">
      <c r="A117" s="515"/>
      <c r="B117" s="515"/>
      <c r="C117" s="515"/>
      <c r="D117" s="515"/>
      <c r="E117" s="515"/>
      <c r="F117" s="515"/>
      <c r="G117" s="515"/>
      <c r="H117" s="515"/>
      <c r="I117" s="515"/>
      <c r="J117" s="515"/>
      <c r="K117" s="515"/>
      <c r="L117" s="515"/>
      <c r="M117" s="515"/>
      <c r="N117" s="515"/>
      <c r="O117" s="515"/>
      <c r="P117" s="515"/>
      <c r="Q117" s="515"/>
      <c r="R117" s="515"/>
      <c r="S117" s="515"/>
      <c r="T117" s="515"/>
      <c r="U117" s="515"/>
      <c r="V117" s="515"/>
    </row>
    <row r="118" spans="1:22">
      <c r="A118" s="515"/>
      <c r="B118" s="515"/>
      <c r="C118" s="515"/>
      <c r="D118" s="515"/>
      <c r="E118" s="515"/>
      <c r="F118" s="515"/>
      <c r="G118" s="515"/>
      <c r="H118" s="515"/>
      <c r="I118" s="515"/>
      <c r="J118" s="515"/>
      <c r="K118" s="515"/>
      <c r="L118" s="515"/>
      <c r="M118" s="515"/>
      <c r="N118" s="515"/>
      <c r="O118" s="515"/>
      <c r="P118" s="515"/>
      <c r="Q118" s="515"/>
      <c r="R118" s="515"/>
      <c r="S118" s="515"/>
      <c r="T118" s="515"/>
      <c r="U118" s="515"/>
      <c r="V118" s="515"/>
    </row>
    <row r="119" spans="1:22">
      <c r="A119" s="515"/>
      <c r="B119" s="515"/>
      <c r="C119" s="515"/>
      <c r="D119" s="515"/>
      <c r="E119" s="515"/>
      <c r="F119" s="515"/>
      <c r="G119" s="515"/>
      <c r="H119" s="515"/>
      <c r="I119" s="515"/>
      <c r="J119" s="515"/>
      <c r="K119" s="515"/>
      <c r="L119" s="515"/>
      <c r="M119" s="515"/>
      <c r="N119" s="515"/>
      <c r="O119" s="515"/>
      <c r="P119" s="515"/>
      <c r="Q119" s="515"/>
      <c r="R119" s="515"/>
      <c r="S119" s="515"/>
      <c r="T119" s="515"/>
      <c r="U119" s="515"/>
      <c r="V119" s="515"/>
    </row>
    <row r="120" spans="1:22">
      <c r="A120" s="515"/>
      <c r="B120" s="515"/>
      <c r="C120" s="515"/>
      <c r="D120" s="515"/>
      <c r="E120" s="515"/>
      <c r="F120" s="515"/>
      <c r="G120" s="515"/>
      <c r="H120" s="515"/>
      <c r="I120" s="515"/>
      <c r="J120" s="515"/>
      <c r="K120" s="515"/>
      <c r="L120" s="515"/>
      <c r="M120" s="515"/>
      <c r="N120" s="515"/>
      <c r="O120" s="515"/>
      <c r="P120" s="515"/>
      <c r="Q120" s="515"/>
      <c r="R120" s="515"/>
      <c r="S120" s="515"/>
      <c r="T120" s="515"/>
      <c r="U120" s="515"/>
      <c r="V120" s="515"/>
    </row>
    <row r="121" spans="1:22">
      <c r="A121" s="515"/>
      <c r="B121" s="515"/>
      <c r="C121" s="515"/>
      <c r="D121" s="515"/>
      <c r="E121" s="515"/>
      <c r="F121" s="515"/>
      <c r="G121" s="515"/>
      <c r="H121" s="515"/>
      <c r="I121" s="515"/>
      <c r="J121" s="515"/>
      <c r="K121" s="515"/>
      <c r="L121" s="515"/>
      <c r="M121" s="515"/>
      <c r="N121" s="515"/>
      <c r="O121" s="515"/>
      <c r="P121" s="515"/>
      <c r="Q121" s="515"/>
      <c r="R121" s="515"/>
      <c r="S121" s="515"/>
      <c r="T121" s="515"/>
      <c r="U121" s="515"/>
      <c r="V121" s="515"/>
    </row>
    <row r="122" spans="1:22">
      <c r="A122" s="515"/>
      <c r="B122" s="515"/>
      <c r="C122" s="515"/>
      <c r="D122" s="515"/>
      <c r="E122" s="515"/>
      <c r="F122" s="515"/>
      <c r="G122" s="515"/>
      <c r="H122" s="515"/>
      <c r="I122" s="515"/>
      <c r="J122" s="515"/>
      <c r="K122" s="515"/>
      <c r="L122" s="515"/>
      <c r="M122" s="515"/>
      <c r="N122" s="515"/>
      <c r="O122" s="515"/>
      <c r="P122" s="515"/>
      <c r="Q122" s="515"/>
      <c r="R122" s="515"/>
      <c r="S122" s="515"/>
      <c r="T122" s="515"/>
      <c r="U122" s="515"/>
      <c r="V122" s="515"/>
    </row>
    <row r="123" spans="1:22">
      <c r="A123" s="515"/>
      <c r="B123" s="515"/>
      <c r="C123" s="515"/>
      <c r="D123" s="515"/>
      <c r="E123" s="515"/>
      <c r="F123" s="515"/>
      <c r="G123" s="515"/>
      <c r="H123" s="515"/>
      <c r="I123" s="515"/>
      <c r="J123" s="515"/>
      <c r="K123" s="515"/>
      <c r="L123" s="515"/>
      <c r="M123" s="515"/>
      <c r="N123" s="515"/>
      <c r="O123" s="515"/>
      <c r="P123" s="515"/>
      <c r="Q123" s="515"/>
      <c r="R123" s="515"/>
      <c r="S123" s="515"/>
      <c r="T123" s="515"/>
      <c r="U123" s="515"/>
      <c r="V123" s="515"/>
    </row>
    <row r="124" spans="1:22">
      <c r="A124" s="515"/>
      <c r="B124" s="515"/>
      <c r="C124" s="515"/>
      <c r="D124" s="515"/>
      <c r="E124" s="515"/>
      <c r="F124" s="515"/>
      <c r="G124" s="515"/>
      <c r="H124" s="515"/>
      <c r="I124" s="515"/>
      <c r="J124" s="515"/>
      <c r="K124" s="515"/>
      <c r="L124" s="515"/>
      <c r="M124" s="515"/>
      <c r="N124" s="515"/>
      <c r="O124" s="515"/>
      <c r="P124" s="515"/>
      <c r="Q124" s="515"/>
      <c r="R124" s="515"/>
      <c r="S124" s="515"/>
      <c r="T124" s="515"/>
      <c r="U124" s="515"/>
      <c r="V124" s="515"/>
    </row>
    <row r="125" spans="1:22">
      <c r="A125" s="515"/>
      <c r="B125" s="515"/>
      <c r="C125" s="515"/>
      <c r="D125" s="515"/>
      <c r="E125" s="515"/>
      <c r="F125" s="515"/>
      <c r="G125" s="515"/>
      <c r="H125" s="515"/>
      <c r="I125" s="515"/>
      <c r="J125" s="515"/>
      <c r="K125" s="515"/>
      <c r="L125" s="515"/>
      <c r="M125" s="515"/>
      <c r="N125" s="515"/>
      <c r="O125" s="515"/>
      <c r="P125" s="515"/>
      <c r="Q125" s="515"/>
      <c r="R125" s="515"/>
      <c r="S125" s="515"/>
      <c r="T125" s="515"/>
      <c r="U125" s="515"/>
      <c r="V125" s="515"/>
    </row>
    <row r="126" spans="1:22">
      <c r="A126" s="515"/>
      <c r="B126" s="515"/>
      <c r="C126" s="515"/>
      <c r="D126" s="515"/>
      <c r="E126" s="515"/>
      <c r="F126" s="515"/>
      <c r="G126" s="515"/>
      <c r="H126" s="515"/>
      <c r="I126" s="515"/>
      <c r="J126" s="515"/>
      <c r="K126" s="515"/>
      <c r="L126" s="515"/>
      <c r="M126" s="515"/>
      <c r="N126" s="515"/>
      <c r="O126" s="515"/>
      <c r="P126" s="515"/>
      <c r="Q126" s="515"/>
      <c r="R126" s="515"/>
      <c r="S126" s="515"/>
      <c r="T126" s="515"/>
      <c r="U126" s="515"/>
      <c r="V126" s="515"/>
    </row>
    <row r="127" spans="1:22">
      <c r="A127" s="515"/>
      <c r="B127" s="515"/>
      <c r="C127" s="515"/>
      <c r="D127" s="515"/>
      <c r="E127" s="515"/>
      <c r="F127" s="515"/>
      <c r="G127" s="515"/>
      <c r="H127" s="515"/>
      <c r="I127" s="515"/>
      <c r="J127" s="515"/>
      <c r="K127" s="515"/>
      <c r="L127" s="515"/>
      <c r="M127" s="515"/>
      <c r="N127" s="515"/>
      <c r="O127" s="515"/>
      <c r="P127" s="515"/>
      <c r="Q127" s="515"/>
      <c r="R127" s="515"/>
      <c r="S127" s="515"/>
      <c r="T127" s="515"/>
      <c r="U127" s="515"/>
      <c r="V127" s="515"/>
    </row>
    <row r="128" spans="1:22">
      <c r="A128" s="515"/>
      <c r="B128" s="515"/>
      <c r="C128" s="515"/>
      <c r="D128" s="515"/>
      <c r="E128" s="515"/>
      <c r="F128" s="515"/>
      <c r="G128" s="515"/>
      <c r="H128" s="515"/>
      <c r="I128" s="515"/>
      <c r="J128" s="515"/>
      <c r="K128" s="515"/>
      <c r="L128" s="515"/>
      <c r="M128" s="515"/>
      <c r="N128" s="515"/>
      <c r="O128" s="515"/>
      <c r="P128" s="515"/>
      <c r="Q128" s="515"/>
      <c r="R128" s="515"/>
      <c r="S128" s="515"/>
      <c r="T128" s="515"/>
      <c r="U128" s="515"/>
      <c r="V128" s="515"/>
    </row>
    <row r="129" spans="1:22">
      <c r="A129" s="515"/>
      <c r="B129" s="515"/>
      <c r="C129" s="515"/>
      <c r="D129" s="515"/>
      <c r="E129" s="515"/>
      <c r="F129" s="515"/>
      <c r="G129" s="515"/>
      <c r="H129" s="515"/>
      <c r="I129" s="515"/>
      <c r="J129" s="515"/>
      <c r="K129" s="515"/>
      <c r="L129" s="515"/>
      <c r="M129" s="515"/>
      <c r="N129" s="515"/>
      <c r="O129" s="515"/>
      <c r="P129" s="515"/>
      <c r="Q129" s="515"/>
      <c r="R129" s="515"/>
      <c r="S129" s="515"/>
      <c r="T129" s="515"/>
      <c r="U129" s="515"/>
      <c r="V129" s="515"/>
    </row>
    <row r="130" spans="1:22">
      <c r="A130" s="515"/>
      <c r="B130" s="515"/>
      <c r="C130" s="515"/>
      <c r="D130" s="515"/>
      <c r="E130" s="515"/>
      <c r="F130" s="515"/>
      <c r="G130" s="515"/>
      <c r="H130" s="515"/>
      <c r="I130" s="515"/>
      <c r="J130" s="515"/>
      <c r="K130" s="515"/>
      <c r="L130" s="515"/>
      <c r="M130" s="515"/>
      <c r="N130" s="515"/>
      <c r="O130" s="515"/>
      <c r="P130" s="515"/>
      <c r="Q130" s="515"/>
      <c r="R130" s="515"/>
      <c r="S130" s="515"/>
      <c r="T130" s="515"/>
      <c r="U130" s="515"/>
      <c r="V130" s="515"/>
    </row>
    <row r="131" spans="1:22">
      <c r="A131" s="515"/>
      <c r="B131" s="515"/>
      <c r="C131" s="515"/>
      <c r="D131" s="515"/>
      <c r="E131" s="515"/>
      <c r="F131" s="515"/>
      <c r="G131" s="515"/>
      <c r="H131" s="515"/>
      <c r="I131" s="515"/>
      <c r="J131" s="515"/>
      <c r="K131" s="515"/>
      <c r="L131" s="515"/>
      <c r="M131" s="515"/>
      <c r="N131" s="515"/>
      <c r="O131" s="515"/>
      <c r="P131" s="515"/>
      <c r="Q131" s="515"/>
      <c r="R131" s="515"/>
      <c r="S131" s="515"/>
      <c r="T131" s="515"/>
      <c r="U131" s="515"/>
      <c r="V131" s="515"/>
    </row>
    <row r="132" spans="1:22">
      <c r="A132" s="515"/>
      <c r="B132" s="515"/>
      <c r="C132" s="515"/>
      <c r="D132" s="515"/>
      <c r="E132" s="515"/>
      <c r="F132" s="515"/>
      <c r="G132" s="515"/>
      <c r="H132" s="515"/>
      <c r="I132" s="515"/>
      <c r="J132" s="515"/>
      <c r="K132" s="515"/>
      <c r="L132" s="515"/>
      <c r="M132" s="515"/>
      <c r="N132" s="515"/>
      <c r="O132" s="515"/>
      <c r="P132" s="515"/>
      <c r="Q132" s="515"/>
      <c r="R132" s="515"/>
      <c r="S132" s="515"/>
      <c r="T132" s="515"/>
      <c r="U132" s="515"/>
      <c r="V132" s="515"/>
    </row>
    <row r="133" spans="1:22">
      <c r="A133" s="515"/>
      <c r="B133" s="515"/>
      <c r="C133" s="515"/>
      <c r="D133" s="515"/>
      <c r="E133" s="515"/>
      <c r="F133" s="515"/>
      <c r="G133" s="515"/>
      <c r="H133" s="515"/>
      <c r="I133" s="515"/>
      <c r="J133" s="515"/>
      <c r="K133" s="515"/>
      <c r="L133" s="515"/>
      <c r="M133" s="515"/>
      <c r="N133" s="515"/>
      <c r="O133" s="515"/>
      <c r="P133" s="515"/>
      <c r="Q133" s="515"/>
      <c r="R133" s="515"/>
      <c r="S133" s="515"/>
      <c r="T133" s="515"/>
      <c r="U133" s="515"/>
      <c r="V133" s="515"/>
    </row>
    <row r="134" spans="1:22">
      <c r="A134" s="515"/>
      <c r="B134" s="515"/>
      <c r="C134" s="515"/>
      <c r="D134" s="515"/>
      <c r="E134" s="515"/>
      <c r="F134" s="515"/>
      <c r="G134" s="515"/>
      <c r="H134" s="515"/>
      <c r="I134" s="515"/>
      <c r="J134" s="515"/>
      <c r="K134" s="515"/>
      <c r="L134" s="515"/>
      <c r="M134" s="515"/>
      <c r="N134" s="515"/>
      <c r="O134" s="515"/>
      <c r="P134" s="515"/>
      <c r="Q134" s="515"/>
      <c r="R134" s="515"/>
      <c r="S134" s="515"/>
      <c r="T134" s="515"/>
      <c r="U134" s="515"/>
      <c r="V134" s="515"/>
    </row>
    <row r="135" spans="1:22">
      <c r="A135" s="515"/>
      <c r="B135" s="515"/>
      <c r="C135" s="515"/>
      <c r="D135" s="515"/>
      <c r="E135" s="515"/>
      <c r="F135" s="515"/>
      <c r="G135" s="515"/>
      <c r="H135" s="515"/>
      <c r="I135" s="515"/>
      <c r="J135" s="515"/>
      <c r="K135" s="515"/>
      <c r="L135" s="515"/>
      <c r="M135" s="515"/>
      <c r="N135" s="515"/>
      <c r="O135" s="515"/>
      <c r="P135" s="515"/>
      <c r="Q135" s="515"/>
      <c r="R135" s="515"/>
      <c r="S135" s="515"/>
      <c r="T135" s="515"/>
      <c r="U135" s="515"/>
      <c r="V135" s="515"/>
    </row>
    <row r="136" spans="1:22">
      <c r="A136" s="515"/>
      <c r="B136" s="515"/>
      <c r="C136" s="515"/>
      <c r="D136" s="515"/>
      <c r="E136" s="515"/>
      <c r="F136" s="515"/>
      <c r="G136" s="515"/>
      <c r="H136" s="515"/>
      <c r="I136" s="515"/>
      <c r="J136" s="515"/>
      <c r="K136" s="515"/>
      <c r="L136" s="515"/>
      <c r="M136" s="515"/>
      <c r="N136" s="515"/>
      <c r="O136" s="515"/>
      <c r="P136" s="515"/>
      <c r="Q136" s="515"/>
      <c r="R136" s="515"/>
      <c r="S136" s="515"/>
      <c r="T136" s="515"/>
      <c r="U136" s="515"/>
      <c r="V136" s="515"/>
    </row>
    <row r="137" spans="1:22">
      <c r="A137" s="515"/>
      <c r="B137" s="515"/>
      <c r="C137" s="515"/>
      <c r="D137" s="515"/>
      <c r="E137" s="515"/>
      <c r="F137" s="515"/>
      <c r="G137" s="515"/>
      <c r="H137" s="515"/>
      <c r="I137" s="515"/>
      <c r="J137" s="515"/>
      <c r="K137" s="515"/>
      <c r="L137" s="515"/>
      <c r="M137" s="515"/>
      <c r="N137" s="515"/>
      <c r="O137" s="515"/>
      <c r="P137" s="515"/>
      <c r="Q137" s="515"/>
      <c r="R137" s="515"/>
      <c r="S137" s="515"/>
      <c r="T137" s="515"/>
      <c r="U137" s="515"/>
      <c r="V137" s="515"/>
    </row>
    <row r="138" spans="1:22" ht="12.75" customHeight="1">
      <c r="A138" s="515"/>
      <c r="B138" s="515"/>
      <c r="C138" s="515"/>
      <c r="D138" s="515"/>
      <c r="E138" s="515"/>
      <c r="F138" s="515"/>
      <c r="G138" s="515"/>
      <c r="H138" s="515"/>
      <c r="I138" s="515"/>
      <c r="J138" s="515"/>
      <c r="K138" s="515"/>
      <c r="L138" s="515"/>
      <c r="M138" s="515"/>
      <c r="N138" s="515"/>
      <c r="O138" s="515"/>
      <c r="P138" s="515"/>
      <c r="Q138" s="515"/>
      <c r="R138" s="515"/>
      <c r="S138" s="515"/>
      <c r="T138" s="515"/>
      <c r="U138" s="515"/>
      <c r="V138" s="515"/>
    </row>
    <row r="139" spans="1:22" ht="12.75" customHeight="1">
      <c r="A139" s="515"/>
      <c r="B139" s="515"/>
      <c r="C139" s="515"/>
      <c r="D139" s="515"/>
      <c r="E139" s="515"/>
      <c r="F139" s="515"/>
      <c r="G139" s="515"/>
      <c r="H139" s="515"/>
      <c r="I139" s="515"/>
      <c r="J139" s="515"/>
      <c r="K139" s="515"/>
      <c r="L139" s="515"/>
      <c r="M139" s="515"/>
      <c r="N139" s="515"/>
      <c r="O139" s="515"/>
      <c r="P139" s="515"/>
      <c r="Q139" s="515"/>
      <c r="R139" s="515"/>
      <c r="S139" s="515"/>
      <c r="T139" s="515"/>
      <c r="U139" s="515"/>
      <c r="V139" s="515"/>
    </row>
    <row r="140" spans="1:22" ht="12.75" customHeight="1">
      <c r="A140" s="515"/>
      <c r="B140" s="515"/>
      <c r="C140" s="515"/>
      <c r="D140" s="515"/>
      <c r="E140" s="515"/>
      <c r="F140" s="515"/>
      <c r="G140" s="515"/>
      <c r="H140" s="515"/>
      <c r="I140" s="515"/>
      <c r="J140" s="515"/>
      <c r="K140" s="515"/>
      <c r="L140" s="515"/>
      <c r="M140" s="515"/>
      <c r="N140" s="515"/>
      <c r="O140" s="515"/>
      <c r="P140" s="515"/>
      <c r="Q140" s="515"/>
      <c r="R140" s="515"/>
      <c r="S140" s="515"/>
      <c r="T140" s="515"/>
      <c r="U140" s="515"/>
      <c r="V140" s="515"/>
    </row>
    <row r="141" spans="1:22">
      <c r="A141" s="515"/>
      <c r="B141" s="515"/>
      <c r="C141" s="515"/>
      <c r="D141" s="515"/>
      <c r="E141" s="515"/>
      <c r="F141" s="515"/>
      <c r="G141" s="515"/>
      <c r="H141" s="515"/>
      <c r="I141" s="515"/>
      <c r="J141" s="515"/>
      <c r="K141" s="515"/>
      <c r="L141" s="515"/>
      <c r="M141" s="515"/>
      <c r="N141" s="515"/>
      <c r="O141" s="515"/>
      <c r="P141" s="515"/>
      <c r="Q141" s="515"/>
      <c r="R141" s="515"/>
      <c r="S141" s="515"/>
      <c r="T141" s="515"/>
      <c r="U141" s="515"/>
      <c r="V141" s="515"/>
    </row>
    <row r="142" spans="1:22">
      <c r="A142" s="515"/>
      <c r="B142" s="515"/>
      <c r="C142" s="515"/>
      <c r="D142" s="515"/>
      <c r="E142" s="515"/>
      <c r="F142" s="515"/>
      <c r="G142" s="515"/>
      <c r="H142" s="515"/>
      <c r="I142" s="515"/>
      <c r="J142" s="515"/>
      <c r="K142" s="515"/>
      <c r="L142" s="515"/>
      <c r="M142" s="515"/>
      <c r="N142" s="515"/>
      <c r="O142" s="515"/>
      <c r="P142" s="515"/>
      <c r="Q142" s="515"/>
      <c r="R142" s="515"/>
      <c r="S142" s="515"/>
      <c r="T142" s="515"/>
      <c r="U142" s="515"/>
      <c r="V142" s="515"/>
    </row>
    <row r="143" spans="1:22">
      <c r="A143" s="515"/>
      <c r="B143" s="515"/>
      <c r="C143" s="515"/>
      <c r="D143" s="515"/>
      <c r="E143" s="515"/>
      <c r="F143" s="515"/>
      <c r="G143" s="515"/>
      <c r="H143" s="515"/>
      <c r="I143" s="515"/>
      <c r="J143" s="515"/>
      <c r="K143" s="515"/>
      <c r="L143" s="515"/>
      <c r="M143" s="515"/>
      <c r="N143" s="515"/>
      <c r="O143" s="515"/>
      <c r="P143" s="515"/>
      <c r="Q143" s="515"/>
      <c r="R143" s="515"/>
      <c r="S143" s="515"/>
      <c r="T143" s="515"/>
      <c r="U143" s="515"/>
      <c r="V143" s="515"/>
    </row>
    <row r="144" spans="1:22">
      <c r="A144" s="515"/>
      <c r="B144" s="515"/>
      <c r="C144" s="515"/>
      <c r="D144" s="515"/>
      <c r="E144" s="515"/>
      <c r="F144" s="515"/>
      <c r="G144" s="515"/>
      <c r="H144" s="515"/>
      <c r="I144" s="515"/>
      <c r="J144" s="515"/>
      <c r="K144" s="515"/>
      <c r="L144" s="515"/>
      <c r="M144" s="515"/>
      <c r="N144" s="515"/>
      <c r="O144" s="515"/>
      <c r="P144" s="515"/>
      <c r="Q144" s="515"/>
      <c r="R144" s="515"/>
      <c r="S144" s="515"/>
      <c r="T144" s="515"/>
      <c r="U144" s="515"/>
      <c r="V144" s="515"/>
    </row>
    <row r="145" spans="1:22">
      <c r="A145" s="515"/>
      <c r="B145" s="515"/>
      <c r="C145" s="515"/>
      <c r="D145" s="515"/>
      <c r="E145" s="515"/>
      <c r="F145" s="515"/>
      <c r="G145" s="515"/>
      <c r="H145" s="515"/>
      <c r="I145" s="515"/>
      <c r="J145" s="515"/>
      <c r="K145" s="515"/>
      <c r="L145" s="515"/>
      <c r="M145" s="515"/>
      <c r="N145" s="515"/>
      <c r="O145" s="515"/>
      <c r="P145" s="515"/>
      <c r="Q145" s="515"/>
      <c r="R145" s="515"/>
      <c r="S145" s="515"/>
      <c r="T145" s="515"/>
      <c r="U145" s="515"/>
      <c r="V145" s="515"/>
    </row>
    <row r="146" spans="1:22">
      <c r="A146" s="515"/>
      <c r="B146" s="515"/>
      <c r="C146" s="515"/>
      <c r="D146" s="515"/>
      <c r="E146" s="515"/>
      <c r="F146" s="515"/>
      <c r="G146" s="515"/>
      <c r="H146" s="515"/>
      <c r="I146" s="515"/>
      <c r="J146" s="515"/>
      <c r="K146" s="515"/>
      <c r="L146" s="515"/>
      <c r="M146" s="515"/>
      <c r="N146" s="515"/>
      <c r="O146" s="515"/>
      <c r="P146" s="515"/>
      <c r="Q146" s="515"/>
      <c r="R146" s="515"/>
      <c r="S146" s="515"/>
      <c r="T146" s="515"/>
      <c r="U146" s="515"/>
      <c r="V146" s="515"/>
    </row>
    <row r="147" spans="1:22">
      <c r="A147" s="515"/>
      <c r="B147" s="515"/>
      <c r="C147" s="515"/>
      <c r="D147" s="515"/>
      <c r="E147" s="515"/>
      <c r="F147" s="515"/>
      <c r="G147" s="515"/>
      <c r="H147" s="515"/>
      <c r="I147" s="515"/>
      <c r="J147" s="515"/>
      <c r="K147" s="515"/>
      <c r="L147" s="515"/>
      <c r="M147" s="515"/>
      <c r="N147" s="515"/>
      <c r="O147" s="515"/>
      <c r="P147" s="515"/>
      <c r="Q147" s="515"/>
      <c r="R147" s="515"/>
      <c r="S147" s="515"/>
      <c r="T147" s="515"/>
      <c r="U147" s="515"/>
      <c r="V147" s="515"/>
    </row>
    <row r="148" spans="1:22">
      <c r="A148" s="515"/>
      <c r="B148" s="515"/>
      <c r="C148" s="515"/>
      <c r="D148" s="515"/>
      <c r="E148" s="515"/>
      <c r="F148" s="515"/>
      <c r="G148" s="515"/>
      <c r="H148" s="515"/>
      <c r="I148" s="515"/>
      <c r="J148" s="515"/>
      <c r="K148" s="515"/>
      <c r="L148" s="515"/>
      <c r="M148" s="515"/>
      <c r="N148" s="515"/>
      <c r="O148" s="515"/>
      <c r="P148" s="515"/>
      <c r="Q148" s="515"/>
      <c r="R148" s="515"/>
      <c r="S148" s="515"/>
      <c r="T148" s="515"/>
      <c r="U148" s="515"/>
      <c r="V148" s="515"/>
    </row>
    <row r="149" spans="1:22">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row>
    <row r="150" spans="1:22">
      <c r="A150" s="515"/>
      <c r="B150" s="515"/>
      <c r="C150" s="515"/>
      <c r="D150" s="515"/>
      <c r="E150" s="515"/>
      <c r="F150" s="515"/>
      <c r="G150" s="515"/>
      <c r="H150" s="515"/>
      <c r="I150" s="515"/>
      <c r="J150" s="515"/>
      <c r="K150" s="515"/>
      <c r="L150" s="515"/>
      <c r="M150" s="515"/>
      <c r="N150" s="515"/>
      <c r="O150" s="515"/>
      <c r="P150" s="515"/>
      <c r="Q150" s="515"/>
      <c r="R150" s="515"/>
      <c r="S150" s="515"/>
      <c r="T150" s="515"/>
      <c r="U150" s="515"/>
      <c r="V150" s="515"/>
    </row>
    <row r="151" spans="1:22">
      <c r="A151" s="515"/>
      <c r="B151" s="515"/>
      <c r="C151" s="515"/>
      <c r="D151" s="515"/>
      <c r="E151" s="515"/>
      <c r="F151" s="515"/>
      <c r="G151" s="515"/>
      <c r="H151" s="515"/>
      <c r="I151" s="515"/>
      <c r="J151" s="515"/>
      <c r="K151" s="515"/>
      <c r="L151" s="515"/>
      <c r="M151" s="515"/>
      <c r="N151" s="515"/>
      <c r="O151" s="515"/>
      <c r="P151" s="515"/>
      <c r="Q151" s="515"/>
      <c r="R151" s="515"/>
      <c r="S151" s="515"/>
      <c r="T151" s="515"/>
      <c r="U151" s="515"/>
      <c r="V151" s="51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7" zoomScale="75" workbookViewId="0">
      <selection activeCell="D33" sqref="D33"/>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95" t="s">
        <v>416</v>
      </c>
    </row>
    <row r="2" spans="1:11" ht="15.75">
      <c r="A2" s="995" t="s">
        <v>416</v>
      </c>
    </row>
    <row r="3" spans="1:11">
      <c r="A3" s="1506" t="str">
        <f>TCOS!$F$5</f>
        <v>AEPTCo subsidiaries in PJM</v>
      </c>
      <c r="B3" s="1506" t="str">
        <f>TCOS!$F$5</f>
        <v>AEPTCo subsidiaries in PJM</v>
      </c>
      <c r="C3" s="1506" t="str">
        <f>TCOS!$F$5</f>
        <v>AEPTCo subsidiaries in PJM</v>
      </c>
      <c r="D3" s="1506" t="str">
        <f>TCOS!$F$5</f>
        <v>AEPTCo subsidiaries in PJM</v>
      </c>
      <c r="E3" s="1506" t="str">
        <f>TCOS!$F$5</f>
        <v>AEPTCo subsidiaries in PJM</v>
      </c>
      <c r="F3" s="1506" t="str">
        <f>TCOS!$F$5</f>
        <v>AEPTCo subsidiaries in PJM</v>
      </c>
      <c r="G3" s="1506" t="str">
        <f>TCOS!$F$5</f>
        <v>AEPTCo subsidiaries in PJM</v>
      </c>
      <c r="H3" s="21"/>
    </row>
    <row r="4" spans="1:11" ht="12.75" customHeight="1">
      <c r="A4" s="1498" t="str">
        <f>"Cost of Service Formula Rate Using Actual/Projected FF1 Balances"</f>
        <v>Cost of Service Formula Rate Using Actual/Projected FF1 Balances</v>
      </c>
      <c r="B4" s="1498"/>
      <c r="C4" s="1498"/>
      <c r="D4" s="1498"/>
      <c r="E4" s="1498"/>
      <c r="F4" s="1498"/>
      <c r="G4" s="1498"/>
      <c r="H4" s="52"/>
      <c r="I4" s="52"/>
      <c r="J4" s="52"/>
      <c r="K4" s="52"/>
    </row>
    <row r="5" spans="1:11" ht="12.75" customHeight="1">
      <c r="A5" s="1498" t="s">
        <v>288</v>
      </c>
      <c r="B5" s="1498"/>
      <c r="C5" s="1498"/>
      <c r="D5" s="1498"/>
      <c r="E5" s="1498"/>
      <c r="F5" s="1498"/>
      <c r="G5" s="1498"/>
    </row>
    <row r="6" spans="1:11" ht="12.75" customHeight="1">
      <c r="A6" s="1509" t="str">
        <f>TCOS!F9</f>
        <v>AEP Indiana Michigan Transmission Company</v>
      </c>
      <c r="B6" s="1509"/>
      <c r="C6" s="1509"/>
      <c r="D6" s="1509"/>
      <c r="E6" s="1509"/>
      <c r="F6" s="1509"/>
      <c r="G6" s="1509"/>
    </row>
    <row r="7" spans="1:11" ht="12.75" customHeight="1">
      <c r="A7" s="1506"/>
      <c r="B7" s="1506"/>
      <c r="C7" s="1506"/>
      <c r="D7" s="1506"/>
      <c r="E7" s="1506"/>
      <c r="F7" s="1506"/>
      <c r="G7" s="25"/>
    </row>
    <row r="8" spans="1:11" ht="18">
      <c r="A8" s="1542"/>
      <c r="B8" s="1542"/>
      <c r="C8" s="1542"/>
      <c r="D8" s="1542"/>
      <c r="E8" s="1542"/>
      <c r="F8" s="1542"/>
      <c r="G8" s="1542"/>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2022</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294</v>
      </c>
      <c r="D17" s="23"/>
      <c r="E17" s="23"/>
      <c r="F17" s="23"/>
      <c r="G17" s="50"/>
    </row>
    <row r="18" spans="1:7">
      <c r="A18" s="32">
        <v>1</v>
      </c>
      <c r="B18" s="957"/>
      <c r="C18" s="551"/>
      <c r="D18" s="550"/>
      <c r="E18" s="48"/>
      <c r="F18" s="48"/>
      <c r="G18" s="22"/>
    </row>
    <row r="19" spans="1:7">
      <c r="A19" s="32">
        <f>+A18+1</f>
        <v>2</v>
      </c>
      <c r="B19" s="958"/>
      <c r="C19" s="959"/>
      <c r="D19" s="550"/>
      <c r="E19" s="48"/>
      <c r="F19" s="48"/>
      <c r="G19" s="22"/>
    </row>
    <row r="20" spans="1:7" ht="15.75">
      <c r="A20" s="32">
        <f>+A19+1</f>
        <v>3</v>
      </c>
      <c r="B20" s="960"/>
      <c r="C20" s="551"/>
      <c r="D20" s="550"/>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201</v>
      </c>
      <c r="D23" s="130"/>
      <c r="E23" s="23"/>
      <c r="F23" s="23"/>
      <c r="G23" s="33"/>
    </row>
    <row r="24" spans="1:7" ht="15.75">
      <c r="A24" s="32">
        <f>+A21+1</f>
        <v>5</v>
      </c>
      <c r="B24" s="138"/>
      <c r="C24" s="136"/>
      <c r="D24" s="1242"/>
      <c r="E24" s="23"/>
      <c r="F24" s="23"/>
      <c r="G24" s="33"/>
    </row>
    <row r="25" spans="1:7" ht="15.75">
      <c r="A25" s="137">
        <f>+A24+1</f>
        <v>6</v>
      </c>
      <c r="B25" s="138" t="s">
        <v>187</v>
      </c>
      <c r="C25" s="138" t="s">
        <v>184</v>
      </c>
      <c r="D25" s="550">
        <v>0</v>
      </c>
      <c r="E25" s="23"/>
      <c r="F25" s="23"/>
      <c r="G25" s="33"/>
    </row>
    <row r="26" spans="1:7" ht="15.75">
      <c r="A26" s="32">
        <f>+A25+1</f>
        <v>7</v>
      </c>
      <c r="B26" s="136" t="s">
        <v>188</v>
      </c>
      <c r="C26" s="136" t="s">
        <v>185</v>
      </c>
      <c r="D26" s="550">
        <v>411097.71</v>
      </c>
      <c r="E26" s="23"/>
      <c r="F26" s="23"/>
      <c r="G26" s="33"/>
    </row>
    <row r="27" spans="1:7" ht="15.75">
      <c r="A27" s="137">
        <f t="shared" ref="A27:A32" si="0">+A26+1</f>
        <v>8</v>
      </c>
      <c r="B27" s="138" t="s">
        <v>189</v>
      </c>
      <c r="C27" s="138" t="s">
        <v>186</v>
      </c>
      <c r="D27" s="550">
        <v>0</v>
      </c>
      <c r="E27" s="23"/>
      <c r="F27" s="23"/>
      <c r="G27" s="33"/>
    </row>
    <row r="28" spans="1:7" ht="15.75">
      <c r="A28" s="32">
        <f t="shared" si="0"/>
        <v>9</v>
      </c>
      <c r="B28" s="136" t="s">
        <v>190</v>
      </c>
      <c r="C28" s="136" t="s">
        <v>194</v>
      </c>
      <c r="D28" s="550">
        <v>-0.02</v>
      </c>
      <c r="E28" s="23"/>
      <c r="F28" s="23"/>
      <c r="G28" s="33"/>
    </row>
    <row r="29" spans="1:7" ht="15.75">
      <c r="A29" s="137">
        <f t="shared" si="0"/>
        <v>10</v>
      </c>
      <c r="B29" s="138" t="s">
        <v>191</v>
      </c>
      <c r="C29" s="138" t="s">
        <v>197</v>
      </c>
      <c r="D29" s="550">
        <v>331613.89</v>
      </c>
      <c r="E29" s="23"/>
      <c r="F29" s="23"/>
      <c r="G29" s="33"/>
    </row>
    <row r="30" spans="1:7" ht="15.75">
      <c r="A30" s="32">
        <f t="shared" si="0"/>
        <v>11</v>
      </c>
      <c r="B30" s="136" t="s">
        <v>192</v>
      </c>
      <c r="C30" s="136" t="s">
        <v>198</v>
      </c>
      <c r="D30" s="550">
        <v>0</v>
      </c>
      <c r="E30" s="23"/>
      <c r="F30" s="23"/>
      <c r="G30" s="33"/>
    </row>
    <row r="31" spans="1:7" ht="15.75">
      <c r="A31" s="137">
        <f t="shared" si="0"/>
        <v>12</v>
      </c>
      <c r="B31" s="138" t="s">
        <v>193</v>
      </c>
      <c r="C31" s="138" t="s">
        <v>199</v>
      </c>
      <c r="D31" s="550">
        <v>0</v>
      </c>
      <c r="E31" s="23"/>
      <c r="F31" s="23"/>
      <c r="G31" s="33"/>
    </row>
    <row r="32" spans="1:7" ht="15.75">
      <c r="A32" s="32">
        <f t="shared" si="0"/>
        <v>13</v>
      </c>
      <c r="B32" s="136" t="s">
        <v>195</v>
      </c>
      <c r="C32" s="136" t="s">
        <v>200</v>
      </c>
      <c r="D32" s="550">
        <v>0</v>
      </c>
      <c r="E32" s="23"/>
      <c r="F32" s="23"/>
      <c r="G32" s="33"/>
    </row>
    <row r="33" spans="1:19" ht="15.75">
      <c r="A33" s="137">
        <f>+A32+1</f>
        <v>14</v>
      </c>
      <c r="B33" s="138"/>
      <c r="C33" s="19" t="s">
        <v>196</v>
      </c>
      <c r="D33" s="41">
        <f>SUM(D24:D32)</f>
        <v>742711.58000000007</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57" t="s">
        <v>836</v>
      </c>
      <c r="C36" s="551" t="s">
        <v>837</v>
      </c>
      <c r="D36" s="550">
        <v>3.84</v>
      </c>
      <c r="E36" s="23">
        <f t="shared" ref="E36:E38" si="1">+D36</f>
        <v>3.84</v>
      </c>
      <c r="F36" s="23">
        <v>0</v>
      </c>
      <c r="G36" s="22"/>
    </row>
    <row r="37" spans="1:19">
      <c r="A37" s="32">
        <f>+A36+1</f>
        <v>16</v>
      </c>
      <c r="B37" s="957" t="s">
        <v>838</v>
      </c>
      <c r="C37" s="551" t="s">
        <v>839</v>
      </c>
      <c r="D37" s="550">
        <v>4.2700000000000005</v>
      </c>
      <c r="E37" s="23">
        <f t="shared" si="1"/>
        <v>4.2700000000000005</v>
      </c>
      <c r="F37" s="23">
        <v>0</v>
      </c>
      <c r="G37" s="22"/>
    </row>
    <row r="38" spans="1:19">
      <c r="A38" s="32">
        <f>+A37+1</f>
        <v>17</v>
      </c>
      <c r="B38" s="957" t="s">
        <v>840</v>
      </c>
      <c r="C38" s="551" t="s">
        <v>841</v>
      </c>
      <c r="D38" s="550">
        <v>1556.6200000000001</v>
      </c>
      <c r="E38" s="23">
        <f t="shared" si="1"/>
        <v>1556.6200000000001</v>
      </c>
      <c r="F38" s="23">
        <v>0</v>
      </c>
      <c r="G38" s="22"/>
    </row>
    <row r="39" spans="1:19">
      <c r="A39" s="32">
        <f>+A38+1</f>
        <v>18</v>
      </c>
      <c r="B39" s="957" t="s">
        <v>842</v>
      </c>
      <c r="C39" s="551" t="s">
        <v>843</v>
      </c>
      <c r="D39" s="550">
        <v>48397.450000000004</v>
      </c>
      <c r="E39" s="23">
        <v>0</v>
      </c>
      <c r="F39" s="23">
        <f>D39</f>
        <v>48397.450000000004</v>
      </c>
      <c r="G39" s="50"/>
    </row>
    <row r="40" spans="1:19">
      <c r="A40" s="32">
        <f>+A39+1</f>
        <v>19</v>
      </c>
      <c r="B40" s="957"/>
      <c r="C40" s="551"/>
      <c r="D40" s="550"/>
      <c r="E40" s="23"/>
      <c r="F40" s="23">
        <v>0</v>
      </c>
      <c r="G40" s="50"/>
    </row>
    <row r="41" spans="1:19">
      <c r="A41" s="32">
        <f>+A40+1</f>
        <v>20</v>
      </c>
      <c r="B41" s="957"/>
      <c r="C41" s="551"/>
      <c r="D41" s="550"/>
      <c r="E41" s="23"/>
      <c r="F41" s="23"/>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43" t="s">
        <v>633</v>
      </c>
      <c r="D44" s="41">
        <f>SUM(D36:D42)</f>
        <v>49962.180000000008</v>
      </c>
      <c r="E44" s="41">
        <f>SUM(E36:E42)</f>
        <v>1564.73</v>
      </c>
      <c r="F44" s="41">
        <f>SUM(F36:F42)</f>
        <v>48397.450000000004</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57" t="s">
        <v>844</v>
      </c>
      <c r="C47" s="551" t="s">
        <v>845</v>
      </c>
      <c r="D47" s="552">
        <v>0</v>
      </c>
      <c r="E47" s="23">
        <f>+D47</f>
        <v>0</v>
      </c>
      <c r="F47" s="23">
        <v>0</v>
      </c>
      <c r="G47"/>
      <c r="M47" s="12"/>
      <c r="N47" s="44"/>
      <c r="O47" s="45"/>
      <c r="P47" s="45"/>
      <c r="Q47" s="45"/>
      <c r="R47" s="45"/>
      <c r="S47" s="14"/>
    </row>
    <row r="48" spans="1:19">
      <c r="A48" s="32">
        <f>+A47+1</f>
        <v>23</v>
      </c>
      <c r="B48" s="957" t="s">
        <v>846</v>
      </c>
      <c r="C48" s="551" t="s">
        <v>847</v>
      </c>
      <c r="D48" s="552">
        <v>168.86</v>
      </c>
      <c r="E48" s="23">
        <f t="shared" ref="E48:E52" si="2">+D48</f>
        <v>168.86</v>
      </c>
      <c r="F48" s="23">
        <v>0</v>
      </c>
      <c r="G48"/>
      <c r="M48" s="12"/>
      <c r="N48" s="44"/>
      <c r="O48" s="45"/>
      <c r="P48" s="45"/>
      <c r="Q48" s="45"/>
      <c r="R48" s="45"/>
      <c r="S48" s="14"/>
    </row>
    <row r="49" spans="1:19">
      <c r="A49" s="32">
        <f t="shared" ref="A49:A62" si="3">+A48+1</f>
        <v>24</v>
      </c>
      <c r="B49" s="957" t="s">
        <v>848</v>
      </c>
      <c r="C49" s="551" t="s">
        <v>849</v>
      </c>
      <c r="D49" s="552">
        <v>505.74</v>
      </c>
      <c r="E49" s="23">
        <f t="shared" si="2"/>
        <v>505.74</v>
      </c>
      <c r="F49" s="23">
        <v>0</v>
      </c>
      <c r="G49"/>
      <c r="M49" s="12"/>
      <c r="N49" s="44"/>
      <c r="O49" s="45"/>
      <c r="P49" s="45"/>
      <c r="Q49" s="45"/>
      <c r="R49" s="45"/>
      <c r="S49" s="14"/>
    </row>
    <row r="50" spans="1:19">
      <c r="A50" s="32">
        <f t="shared" si="3"/>
        <v>25</v>
      </c>
      <c r="B50" s="957" t="s">
        <v>850</v>
      </c>
      <c r="C50" s="551" t="s">
        <v>851</v>
      </c>
      <c r="D50" s="552">
        <v>3.69</v>
      </c>
      <c r="E50" s="23">
        <f t="shared" si="2"/>
        <v>3.69</v>
      </c>
      <c r="F50" s="23">
        <v>0</v>
      </c>
      <c r="G50"/>
      <c r="M50" s="12"/>
      <c r="N50" s="44"/>
      <c r="O50" s="45"/>
      <c r="P50" s="45"/>
      <c r="Q50" s="45"/>
      <c r="R50" s="45"/>
      <c r="S50" s="14"/>
    </row>
    <row r="51" spans="1:19">
      <c r="A51" s="32">
        <f t="shared" si="3"/>
        <v>26</v>
      </c>
      <c r="B51" s="957" t="s">
        <v>953</v>
      </c>
      <c r="C51" s="551" t="s">
        <v>954</v>
      </c>
      <c r="D51" s="552">
        <v>221.15</v>
      </c>
      <c r="E51" s="23">
        <f t="shared" si="2"/>
        <v>221.15</v>
      </c>
      <c r="F51" s="23"/>
      <c r="G51"/>
      <c r="M51" s="12"/>
      <c r="N51" s="44"/>
      <c r="O51" s="45"/>
      <c r="P51" s="45"/>
      <c r="Q51" s="45"/>
      <c r="R51" s="45"/>
      <c r="S51" s="14"/>
    </row>
    <row r="52" spans="1:19">
      <c r="A52" s="32">
        <f t="shared" si="3"/>
        <v>27</v>
      </c>
      <c r="B52" s="957" t="s">
        <v>852</v>
      </c>
      <c r="C52" s="551" t="s">
        <v>853</v>
      </c>
      <c r="D52" s="552">
        <v>293.41000000000003</v>
      </c>
      <c r="E52" s="23">
        <f t="shared" si="2"/>
        <v>293.41000000000003</v>
      </c>
      <c r="F52" s="23">
        <v>0</v>
      </c>
      <c r="G52"/>
      <c r="M52" s="12"/>
      <c r="N52" s="44"/>
      <c r="O52" s="45"/>
      <c r="P52" s="45"/>
      <c r="Q52" s="45"/>
      <c r="R52" s="45"/>
      <c r="S52" s="14"/>
    </row>
    <row r="53" spans="1:19">
      <c r="A53" s="32">
        <f t="shared" si="3"/>
        <v>28</v>
      </c>
      <c r="B53" s="957"/>
      <c r="C53" s="551"/>
      <c r="D53" s="552"/>
      <c r="E53" s="23"/>
      <c r="F53" s="23"/>
      <c r="G53"/>
      <c r="M53" s="12"/>
      <c r="N53" s="44"/>
      <c r="O53" s="45"/>
      <c r="P53" s="45"/>
      <c r="Q53" s="45"/>
      <c r="R53" s="45"/>
      <c r="S53" s="14"/>
    </row>
    <row r="54" spans="1:19">
      <c r="A54" s="32">
        <f t="shared" si="3"/>
        <v>29</v>
      </c>
      <c r="B54" s="957"/>
      <c r="C54" s="551"/>
      <c r="D54" s="552"/>
      <c r="E54" s="23"/>
      <c r="F54" s="23"/>
      <c r="G54"/>
      <c r="M54" s="12"/>
      <c r="N54" s="44"/>
      <c r="O54" s="45"/>
      <c r="P54" s="45"/>
      <c r="Q54" s="45"/>
      <c r="R54" s="45"/>
      <c r="S54" s="14"/>
    </row>
    <row r="55" spans="1:19">
      <c r="A55" s="32">
        <f t="shared" si="3"/>
        <v>30</v>
      </c>
      <c r="B55" s="957"/>
      <c r="C55" s="551"/>
      <c r="D55" s="552"/>
      <c r="E55" s="23"/>
      <c r="F55" s="23"/>
      <c r="G55"/>
      <c r="M55" s="12"/>
      <c r="N55" s="44"/>
      <c r="O55" s="45"/>
      <c r="P55" s="45"/>
      <c r="Q55" s="45"/>
      <c r="R55" s="45"/>
      <c r="S55" s="14"/>
    </row>
    <row r="56" spans="1:19">
      <c r="A56" s="32">
        <f t="shared" si="3"/>
        <v>31</v>
      </c>
      <c r="B56" s="957"/>
      <c r="C56" s="551"/>
      <c r="D56" s="552"/>
      <c r="E56" s="23"/>
      <c r="F56" s="23"/>
      <c r="G56"/>
      <c r="M56" s="12"/>
      <c r="N56" s="44"/>
      <c r="O56" s="45"/>
      <c r="P56" s="45"/>
      <c r="Q56" s="45"/>
      <c r="R56" s="45"/>
      <c r="S56" s="14"/>
    </row>
    <row r="57" spans="1:19">
      <c r="A57" s="32">
        <f t="shared" si="3"/>
        <v>32</v>
      </c>
      <c r="B57" s="957"/>
      <c r="C57" s="551"/>
      <c r="D57" s="552"/>
      <c r="E57" s="23"/>
      <c r="F57" s="29"/>
      <c r="G57"/>
      <c r="M57" s="12"/>
      <c r="N57" s="44"/>
      <c r="O57" s="45"/>
      <c r="P57" s="45"/>
      <c r="Q57" s="45"/>
      <c r="R57" s="45"/>
      <c r="S57" s="14"/>
    </row>
    <row r="58" spans="1:19">
      <c r="A58" s="32">
        <f t="shared" si="3"/>
        <v>33</v>
      </c>
      <c r="B58" s="957"/>
      <c r="C58" s="551"/>
      <c r="D58" s="552"/>
      <c r="E58" s="23"/>
      <c r="F58" s="29"/>
      <c r="G58"/>
    </row>
    <row r="59" spans="1:19">
      <c r="A59" s="32">
        <f t="shared" si="3"/>
        <v>34</v>
      </c>
      <c r="B59" s="957"/>
      <c r="C59" s="551"/>
      <c r="D59" s="552"/>
      <c r="E59" s="23"/>
      <c r="F59" s="29"/>
      <c r="G59" s="25"/>
    </row>
    <row r="60" spans="1:19">
      <c r="A60" s="32">
        <f t="shared" si="3"/>
        <v>35</v>
      </c>
      <c r="B60" s="957"/>
      <c r="C60" s="551"/>
      <c r="D60" s="552"/>
      <c r="E60" s="23"/>
      <c r="F60" s="29"/>
      <c r="G60" s="25"/>
    </row>
    <row r="61" spans="1:19">
      <c r="A61" s="32">
        <f t="shared" si="3"/>
        <v>36</v>
      </c>
      <c r="B61" s="957"/>
      <c r="C61" s="551"/>
      <c r="D61" s="552"/>
      <c r="E61" s="23"/>
      <c r="F61" s="29"/>
      <c r="G61" s="25"/>
    </row>
    <row r="62" spans="1:19">
      <c r="A62" s="32">
        <f t="shared" si="3"/>
        <v>37</v>
      </c>
      <c r="B62" s="957"/>
      <c r="C62" s="551"/>
      <c r="D62" s="552"/>
      <c r="E62" s="23"/>
      <c r="F62" s="29"/>
      <c r="G62" s="25"/>
    </row>
    <row r="63" spans="1:19">
      <c r="A63" s="32"/>
      <c r="B63" s="24"/>
      <c r="C63" s="25"/>
      <c r="D63" s="34"/>
      <c r="E63" s="35"/>
      <c r="F63" s="34"/>
      <c r="G63" s="25"/>
    </row>
    <row r="64" spans="1:19" ht="15.75">
      <c r="A64" s="32">
        <f>+A62+1</f>
        <v>38</v>
      </c>
      <c r="B64" s="30"/>
      <c r="C64" s="1243" t="s">
        <v>634</v>
      </c>
      <c r="D64" s="36">
        <f>SUM(D47:D63)</f>
        <v>1192.8500000000001</v>
      </c>
      <c r="E64" s="36">
        <f>SUM(E47:E63)</f>
        <v>1192.8500000000001</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1296" t="s">
        <v>854</v>
      </c>
      <c r="C67" s="551" t="s">
        <v>807</v>
      </c>
      <c r="D67" s="552">
        <v>136288.79500000001</v>
      </c>
      <c r="E67" s="23">
        <f>D67</f>
        <v>136288.79500000001</v>
      </c>
      <c r="F67" s="29">
        <v>0</v>
      </c>
      <c r="G67" s="12"/>
      <c r="H67" s="44"/>
      <c r="J67" s="14"/>
      <c r="K67" s="14"/>
    </row>
    <row r="68" spans="1:11">
      <c r="A68" s="32">
        <f>+A67+1</f>
        <v>40</v>
      </c>
      <c r="B68" s="1296" t="s">
        <v>855</v>
      </c>
      <c r="C68" s="551" t="s">
        <v>808</v>
      </c>
      <c r="D68" s="552">
        <v>64996.639999999999</v>
      </c>
      <c r="E68" s="23">
        <f>D68</f>
        <v>64996.639999999999</v>
      </c>
      <c r="F68" s="29">
        <v>0</v>
      </c>
      <c r="G68" s="12"/>
      <c r="H68" s="44"/>
      <c r="J68" s="14"/>
      <c r="K68" s="14"/>
    </row>
    <row r="69" spans="1:11">
      <c r="A69" s="32">
        <f t="shared" ref="A69:A71" si="4">+A68+1</f>
        <v>41</v>
      </c>
      <c r="B69" s="1296" t="s">
        <v>964</v>
      </c>
      <c r="C69" s="551" t="s">
        <v>965</v>
      </c>
      <c r="D69" s="552">
        <v>292.47000000000003</v>
      </c>
      <c r="E69" s="23">
        <f>D69</f>
        <v>292.47000000000003</v>
      </c>
      <c r="F69" s="29">
        <v>0</v>
      </c>
      <c r="G69" s="12"/>
      <c r="H69" s="44"/>
      <c r="J69" s="14"/>
      <c r="K69" s="14"/>
    </row>
    <row r="70" spans="1:11">
      <c r="A70" s="32">
        <f t="shared" si="4"/>
        <v>42</v>
      </c>
      <c r="B70" s="1296" t="s">
        <v>856</v>
      </c>
      <c r="C70" s="551" t="s">
        <v>809</v>
      </c>
      <c r="D70" s="552">
        <v>1351.19</v>
      </c>
      <c r="E70" s="23">
        <v>0</v>
      </c>
      <c r="F70" s="29">
        <f>D70</f>
        <v>1351.19</v>
      </c>
      <c r="G70" s="12"/>
      <c r="H70" s="44"/>
      <c r="J70" s="14"/>
      <c r="K70" s="14"/>
    </row>
    <row r="71" spans="1:11">
      <c r="A71" s="32">
        <f t="shared" si="4"/>
        <v>43</v>
      </c>
      <c r="B71" s="1296" t="s">
        <v>966</v>
      </c>
      <c r="C71" s="551" t="s">
        <v>967</v>
      </c>
      <c r="D71" s="552">
        <v>0</v>
      </c>
      <c r="E71" s="23">
        <f>D71</f>
        <v>0</v>
      </c>
      <c r="F71" s="29">
        <v>0</v>
      </c>
      <c r="G71" s="20"/>
    </row>
    <row r="72" spans="1:11">
      <c r="A72" s="32"/>
      <c r="B72" s="20"/>
      <c r="C72" s="20"/>
      <c r="D72" s="20"/>
      <c r="E72" s="20"/>
      <c r="F72" s="20"/>
      <c r="G72" s="20"/>
    </row>
    <row r="73" spans="1:11" ht="15.75">
      <c r="A73" s="32">
        <f>+A71+1</f>
        <v>44</v>
      </c>
      <c r="B73" s="20"/>
      <c r="C73" s="1243" t="s">
        <v>635</v>
      </c>
      <c r="D73" s="36">
        <f>SUM(D67:D72)</f>
        <v>202929.095</v>
      </c>
      <c r="E73" s="36">
        <f>SUM(E67:E72)</f>
        <v>201577.905</v>
      </c>
      <c r="F73" s="36">
        <f>SUM(F67:F72)</f>
        <v>1351.19</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topLeftCell="A4" zoomScaleNormal="100" workbookViewId="0">
      <selection activeCell="E15" sqref="E15"/>
    </sheetView>
  </sheetViews>
  <sheetFormatPr defaultColWidth="8.85546875" defaultRowHeight="12.75"/>
  <cols>
    <col min="1" max="1" width="8.85546875" style="172"/>
    <col min="2" max="2" width="32.5703125" style="172" customWidth="1"/>
    <col min="3" max="4" width="8.85546875" style="172"/>
    <col min="5" max="5" width="15" style="172" customWidth="1"/>
    <col min="6" max="6" width="12.85546875" style="172" bestFit="1" customWidth="1"/>
    <col min="7" max="7" width="10.85546875" style="172" customWidth="1"/>
    <col min="8" max="8" width="2.85546875" style="172" customWidth="1"/>
    <col min="9" max="9" width="16.5703125" style="172" bestFit="1" customWidth="1"/>
    <col min="10" max="10" width="2.140625" style="172" customWidth="1"/>
    <col min="11" max="11" width="14.5703125" style="172" bestFit="1" customWidth="1"/>
    <col min="12" max="12" width="4.85546875" style="172" customWidth="1"/>
    <col min="13" max="13" width="16" style="172" bestFit="1" customWidth="1"/>
    <col min="14" max="14" width="2.140625" style="172" customWidth="1"/>
    <col min="15" max="15" width="14.28515625" style="172" bestFit="1" customWidth="1"/>
    <col min="16" max="16384" width="8.85546875" style="172"/>
  </cols>
  <sheetData>
    <row r="1" spans="1:15" ht="15.75">
      <c r="A1" s="995" t="s">
        <v>416</v>
      </c>
    </row>
    <row r="2" spans="1:15" ht="15.75">
      <c r="A2" s="995" t="s">
        <v>416</v>
      </c>
    </row>
    <row r="3" spans="1:15" ht="15">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row>
    <row r="4" spans="1:15" ht="15">
      <c r="A4" s="1528" t="str">
        <f>"Cost of Service Formula Rate Using Actual/Projected FF1 Balances"</f>
        <v>Cost of Service Formula Rate Using Actual/Projected FF1 Balances</v>
      </c>
      <c r="B4" s="1528"/>
      <c r="C4" s="1528"/>
      <c r="D4" s="1528"/>
      <c r="E4" s="1528"/>
      <c r="F4" s="1528"/>
      <c r="G4" s="1528"/>
      <c r="H4" s="1528"/>
    </row>
    <row r="5" spans="1:15" ht="15">
      <c r="A5" s="1528" t="s">
        <v>338</v>
      </c>
      <c r="B5" s="1528"/>
      <c r="C5" s="1528"/>
      <c r="D5" s="1528"/>
      <c r="E5" s="1528"/>
      <c r="F5" s="1528"/>
      <c r="G5" s="1528"/>
      <c r="H5" s="1528"/>
    </row>
    <row r="6" spans="1:15" ht="15">
      <c r="A6" s="1529" t="str">
        <f>TCOS!F9</f>
        <v>AEP Indiana Michigan Transmission Company</v>
      </c>
      <c r="B6" s="1529"/>
      <c r="C6" s="1529"/>
      <c r="D6" s="1529"/>
      <c r="E6" s="1529"/>
      <c r="F6" s="1529"/>
      <c r="G6" s="1529"/>
    </row>
    <row r="7" spans="1:15" ht="12.75" customHeight="1">
      <c r="A7" s="553"/>
      <c r="B7" s="554"/>
      <c r="C7" s="554"/>
      <c r="D7" s="554"/>
      <c r="E7" s="554"/>
      <c r="F7" s="554"/>
      <c r="G7" s="554"/>
      <c r="H7" s="554"/>
      <c r="I7" s="554"/>
      <c r="J7" s="554"/>
      <c r="O7" s="555"/>
    </row>
    <row r="8" spans="1:15" ht="12.75" customHeight="1">
      <c r="A8" s="553"/>
      <c r="B8" s="413"/>
      <c r="C8" s="386"/>
      <c r="D8" s="386"/>
      <c r="E8" s="386"/>
      <c r="F8" s="386"/>
    </row>
    <row r="9" spans="1:15" ht="15">
      <c r="A9" s="556">
        <v>1</v>
      </c>
      <c r="B9" s="567" t="s">
        <v>827</v>
      </c>
      <c r="C9" s="558"/>
      <c r="D9" s="559"/>
      <c r="E9" s="565">
        <v>4.9000000000000002E-2</v>
      </c>
      <c r="F9" s="386"/>
      <c r="G9" s="560"/>
      <c r="H9" s="560"/>
      <c r="L9" s="561"/>
    </row>
    <row r="10" spans="1:15" ht="15">
      <c r="A10" s="561"/>
      <c r="B10" s="557" t="s">
        <v>621</v>
      </c>
      <c r="C10" s="558"/>
      <c r="D10" s="558"/>
      <c r="E10" s="566">
        <v>0.89949999999999997</v>
      </c>
      <c r="F10" s="386"/>
      <c r="G10" s="560"/>
      <c r="H10" s="560"/>
      <c r="L10" s="561"/>
    </row>
    <row r="11" spans="1:15" ht="15">
      <c r="A11" s="561"/>
      <c r="B11" s="557" t="s">
        <v>238</v>
      </c>
      <c r="C11" s="558"/>
      <c r="D11" s="558"/>
      <c r="E11" s="385"/>
      <c r="F11" s="562">
        <f>ROUND(E9*E10,4)</f>
        <v>4.41E-2</v>
      </c>
      <c r="G11" s="560"/>
      <c r="L11" s="561"/>
    </row>
    <row r="12" spans="1:15" ht="15">
      <c r="A12" s="561"/>
      <c r="B12" s="557"/>
      <c r="C12" s="558"/>
      <c r="D12" s="558"/>
      <c r="E12" s="385"/>
      <c r="F12" s="562"/>
      <c r="G12" s="560"/>
      <c r="L12" s="561"/>
    </row>
    <row r="13" spans="1:15" ht="15">
      <c r="A13" s="561">
        <f>A9+1</f>
        <v>2</v>
      </c>
      <c r="B13" s="567" t="s">
        <v>828</v>
      </c>
      <c r="C13" s="558"/>
      <c r="D13" s="559"/>
      <c r="E13" s="565">
        <v>0.06</v>
      </c>
      <c r="F13" s="386"/>
      <c r="G13" s="560"/>
      <c r="L13" s="561"/>
    </row>
    <row r="14" spans="1:15" ht="15">
      <c r="A14" s="561"/>
      <c r="B14" s="557" t="s">
        <v>621</v>
      </c>
      <c r="C14" s="558"/>
      <c r="D14" s="558"/>
      <c r="E14" s="566">
        <v>0.10050000000000001</v>
      </c>
      <c r="F14" s="386"/>
      <c r="G14" s="560"/>
      <c r="L14" s="561"/>
    </row>
    <row r="15" spans="1:15" ht="15">
      <c r="A15" s="561"/>
      <c r="B15" s="557" t="s">
        <v>238</v>
      </c>
      <c r="C15" s="558"/>
      <c r="D15" s="558"/>
      <c r="E15" s="385"/>
      <c r="F15" s="562">
        <f>ROUND(E13*E14,4)</f>
        <v>6.0000000000000001E-3</v>
      </c>
      <c r="G15" s="560"/>
      <c r="L15" s="561"/>
    </row>
    <row r="16" spans="1:15" ht="15">
      <c r="A16" s="561"/>
      <c r="B16" s="557"/>
      <c r="C16" s="558"/>
      <c r="D16" s="558"/>
      <c r="E16" s="385"/>
      <c r="F16" s="562"/>
      <c r="G16" s="560"/>
      <c r="L16" s="561"/>
    </row>
    <row r="17" spans="1:12" ht="15">
      <c r="A17" s="561">
        <f>A13+1</f>
        <v>3</v>
      </c>
      <c r="B17" s="567" t="s">
        <v>115</v>
      </c>
      <c r="C17" s="558"/>
      <c r="D17" s="559"/>
      <c r="E17" s="565"/>
      <c r="F17" s="386"/>
      <c r="G17" s="560"/>
      <c r="L17" s="561"/>
    </row>
    <row r="18" spans="1:12" ht="15">
      <c r="A18" s="561"/>
      <c r="B18" s="557" t="s">
        <v>621</v>
      </c>
      <c r="C18" s="558"/>
      <c r="D18" s="558"/>
      <c r="E18" s="566"/>
      <c r="F18" s="386"/>
      <c r="G18" s="560"/>
      <c r="L18" s="561"/>
    </row>
    <row r="19" spans="1:12" ht="15">
      <c r="A19" s="561"/>
      <c r="B19" s="557" t="s">
        <v>238</v>
      </c>
      <c r="C19" s="558"/>
      <c r="D19" s="558"/>
      <c r="E19" s="385"/>
      <c r="F19" s="562">
        <f>ROUND(E17*E18,4)</f>
        <v>0</v>
      </c>
      <c r="G19" s="560"/>
      <c r="L19" s="561"/>
    </row>
    <row r="20" spans="1:12" ht="15">
      <c r="A20" s="561"/>
      <c r="B20" s="557"/>
      <c r="C20" s="558"/>
      <c r="D20" s="558"/>
      <c r="E20" s="385"/>
      <c r="F20" s="562"/>
      <c r="G20" s="560"/>
      <c r="L20" s="561"/>
    </row>
    <row r="21" spans="1:12" ht="15">
      <c r="A21" s="561">
        <f>A17+1</f>
        <v>4</v>
      </c>
      <c r="B21" s="567" t="s">
        <v>115</v>
      </c>
      <c r="C21" s="558"/>
      <c r="D21" s="559"/>
      <c r="E21" s="565"/>
      <c r="F21" s="386"/>
      <c r="G21" s="560"/>
      <c r="L21" s="561"/>
    </row>
    <row r="22" spans="1:12" ht="15">
      <c r="A22" s="561"/>
      <c r="B22" s="557" t="s">
        <v>621</v>
      </c>
      <c r="C22" s="558"/>
      <c r="D22" s="558"/>
      <c r="E22" s="566"/>
      <c r="F22" s="386"/>
      <c r="G22" s="560"/>
      <c r="L22" s="561"/>
    </row>
    <row r="23" spans="1:12" ht="15">
      <c r="A23" s="561"/>
      <c r="B23" s="557" t="s">
        <v>238</v>
      </c>
      <c r="C23" s="558"/>
      <c r="D23" s="558"/>
      <c r="E23" s="385"/>
      <c r="F23" s="562">
        <f>ROUND(E21*E22,4)</f>
        <v>0</v>
      </c>
      <c r="G23" s="560"/>
      <c r="L23" s="561"/>
    </row>
    <row r="24" spans="1:12" ht="15">
      <c r="A24" s="561"/>
      <c r="B24" s="557"/>
      <c r="C24" s="558"/>
      <c r="D24" s="558"/>
      <c r="E24" s="385"/>
      <c r="F24" s="562"/>
      <c r="G24" s="560"/>
      <c r="L24" s="561"/>
    </row>
    <row r="25" spans="1:12" ht="15">
      <c r="A25" s="561">
        <f>A21+1</f>
        <v>5</v>
      </c>
      <c r="B25" s="567" t="s">
        <v>115</v>
      </c>
      <c r="C25" s="558"/>
      <c r="D25" s="559"/>
      <c r="E25" s="565"/>
      <c r="F25" s="563"/>
      <c r="G25" s="560"/>
      <c r="L25" s="561"/>
    </row>
    <row r="26" spans="1:12" ht="15">
      <c r="A26" s="561"/>
      <c r="B26" s="557" t="s">
        <v>621</v>
      </c>
      <c r="C26" s="558"/>
      <c r="D26" s="558"/>
      <c r="E26" s="566"/>
      <c r="F26" s="563"/>
      <c r="G26" s="560"/>
      <c r="L26" s="561"/>
    </row>
    <row r="27" spans="1:12" ht="15">
      <c r="A27" s="561"/>
      <c r="B27" s="557" t="s">
        <v>238</v>
      </c>
      <c r="C27" s="558"/>
      <c r="D27" s="558"/>
      <c r="E27" s="385"/>
      <c r="F27" s="562">
        <f>ROUND(E25*E26,4)</f>
        <v>0</v>
      </c>
      <c r="G27" s="560"/>
      <c r="L27" s="561"/>
    </row>
    <row r="28" spans="1:12" ht="15">
      <c r="A28" s="561"/>
      <c r="B28" s="557"/>
      <c r="C28" s="558"/>
      <c r="D28" s="558"/>
      <c r="E28" s="558"/>
      <c r="F28" s="563"/>
      <c r="G28" s="560"/>
      <c r="L28" s="561"/>
    </row>
    <row r="29" spans="1:12" ht="15.75" thickBot="1">
      <c r="A29" s="561"/>
      <c r="B29" s="385" t="s">
        <v>495</v>
      </c>
      <c r="C29" s="385"/>
      <c r="D29" s="385"/>
      <c r="E29" s="385"/>
      <c r="F29" s="564">
        <f>ROUND(SUM(F11:F28),4)</f>
        <v>5.0099999999999999E-2</v>
      </c>
      <c r="G29" s="560"/>
      <c r="L29" s="561"/>
    </row>
    <row r="30" spans="1:12" ht="13.5" thickTop="1">
      <c r="A30" s="561"/>
      <c r="G30" s="384"/>
      <c r="L30" s="561"/>
    </row>
    <row r="31" spans="1:12">
      <c r="A31" s="561"/>
      <c r="G31" s="384"/>
      <c r="H31" s="384"/>
      <c r="L31" s="561"/>
    </row>
    <row r="32" spans="1:12">
      <c r="A32" s="561"/>
      <c r="G32" s="384"/>
      <c r="H32" s="384"/>
      <c r="L32" s="561"/>
    </row>
    <row r="33" spans="1:12" ht="12.75" customHeight="1">
      <c r="A33" s="561"/>
      <c r="C33" s="385"/>
      <c r="D33" s="385"/>
      <c r="E33" s="385"/>
      <c r="F33" s="385"/>
      <c r="G33" s="384"/>
      <c r="H33" s="384"/>
      <c r="L33" s="561"/>
    </row>
    <row r="34" spans="1:12">
      <c r="A34" s="341" t="s">
        <v>297</v>
      </c>
      <c r="B34" s="341" t="s">
        <v>202</v>
      </c>
      <c r="C34" s="341"/>
      <c r="D34" s="341"/>
      <c r="E34" s="341"/>
      <c r="F34" s="341"/>
      <c r="G34" s="341"/>
      <c r="H34" s="384"/>
      <c r="I34" s="384"/>
      <c r="L34" s="384"/>
    </row>
    <row r="241" spans="2:2">
      <c r="B241" s="172" t="s">
        <v>33</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view="pageBreakPreview" topLeftCell="A34" zoomScale="60" zoomScaleNormal="80" zoomScalePageLayoutView="50" workbookViewId="0">
      <selection activeCell="G56" sqref="G56"/>
    </sheetView>
  </sheetViews>
  <sheetFormatPr defaultRowHeight="15"/>
  <cols>
    <col min="1" max="1" width="7.28515625" style="634" customWidth="1"/>
    <col min="2" max="2" width="1.7109375" style="573" customWidth="1"/>
    <col min="3" max="3" width="62.42578125" style="573" customWidth="1"/>
    <col min="4" max="4" width="11" style="573" customWidth="1"/>
    <col min="5" max="5" width="20.42578125" style="635" customWidth="1"/>
    <col min="6" max="6" width="1.7109375" style="568" customWidth="1"/>
    <col min="7" max="7" width="20" style="568" bestFit="1" customWidth="1"/>
    <col min="8" max="8" width="1.7109375" style="568" customWidth="1"/>
    <col min="9" max="9" width="21.42578125" style="568" customWidth="1"/>
    <col min="10" max="10" width="1.7109375" style="568" customWidth="1"/>
    <col min="11" max="11" width="17.7109375" style="568" bestFit="1" customWidth="1"/>
    <col min="12" max="12" width="3.42578125" style="568" customWidth="1"/>
    <col min="13" max="13" width="22.5703125" style="568" customWidth="1"/>
    <col min="14" max="14" width="1.28515625" style="568" customWidth="1"/>
    <col min="15" max="15" width="22.140625" style="569" customWidth="1"/>
    <col min="16" max="16384" width="9.140625" style="568"/>
  </cols>
  <sheetData>
    <row r="1" spans="1:29" ht="15.75">
      <c r="A1" s="995" t="s">
        <v>416</v>
      </c>
    </row>
    <row r="2" spans="1:29" ht="15.75">
      <c r="A2" s="995" t="s">
        <v>416</v>
      </c>
    </row>
    <row r="3" spans="1:29" ht="18.75" customHeight="1">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c r="I3" s="1497" t="str">
        <f>TCOS!$F$5</f>
        <v>AEPTCo subsidiaries in PJM</v>
      </c>
      <c r="J3" s="1497" t="str">
        <f>TCOS!$F$5</f>
        <v>AEPTCo subsidiaries in PJM</v>
      </c>
      <c r="K3" s="1497" t="str">
        <f>TCOS!$F$5</f>
        <v>AEPTCo subsidiaries in PJM</v>
      </c>
      <c r="L3" s="1497" t="str">
        <f>TCOS!$F$5</f>
        <v>AEPTCo subsidiaries in PJM</v>
      </c>
      <c r="M3" s="1497" t="str">
        <f>TCOS!$F$5</f>
        <v>AEPTCo subsidiaries in PJM</v>
      </c>
    </row>
    <row r="4" spans="1:29" ht="18.75" customHeight="1">
      <c r="A4" s="1528" t="str">
        <f>"Cost of Service Formula Rate Using Actual/Projected FF1 Balances"</f>
        <v>Cost of Service Formula Rate Using Actual/Projected FF1 Balances</v>
      </c>
      <c r="B4" s="1528"/>
      <c r="C4" s="1528"/>
      <c r="D4" s="1528"/>
      <c r="E4" s="1528"/>
      <c r="F4" s="1528"/>
      <c r="G4" s="1528"/>
      <c r="H4" s="1528"/>
      <c r="I4" s="1528"/>
      <c r="J4" s="1528"/>
      <c r="K4" s="1528"/>
      <c r="L4" s="1528"/>
      <c r="M4" s="1528"/>
    </row>
    <row r="5" spans="1:29" ht="18.75" customHeight="1">
      <c r="A5" s="1528" t="s">
        <v>257</v>
      </c>
      <c r="B5" s="1528"/>
      <c r="C5" s="1528"/>
      <c r="D5" s="1528"/>
      <c r="E5" s="1528"/>
      <c r="F5" s="1528"/>
      <c r="G5" s="1528"/>
      <c r="H5" s="1528"/>
      <c r="I5" s="1528"/>
      <c r="J5" s="1528"/>
      <c r="K5" s="1528"/>
      <c r="L5" s="1528"/>
      <c r="M5" s="1528"/>
    </row>
    <row r="6" spans="1:29" ht="18.75" customHeight="1">
      <c r="A6" s="1544" t="str">
        <f>TCOS!F9</f>
        <v>AEP Indiana Michigan Transmission Company</v>
      </c>
      <c r="B6" s="1544"/>
      <c r="C6" s="1544"/>
      <c r="D6" s="1544"/>
      <c r="E6" s="1544"/>
      <c r="F6" s="1544"/>
      <c r="G6" s="1544"/>
      <c r="H6" s="1544"/>
      <c r="I6" s="1544"/>
      <c r="J6" s="1544"/>
      <c r="K6" s="1544"/>
      <c r="L6" s="1544"/>
      <c r="M6" s="1544"/>
    </row>
    <row r="7" spans="1:29" ht="18" customHeight="1">
      <c r="A7" s="1529"/>
      <c r="B7" s="1529"/>
      <c r="C7" s="1529"/>
      <c r="D7" s="1529"/>
      <c r="E7" s="1529"/>
      <c r="F7" s="1529"/>
      <c r="G7" s="1529"/>
      <c r="H7" s="1529"/>
      <c r="I7" s="1529"/>
      <c r="J7" s="1529"/>
      <c r="K7" s="1529"/>
      <c r="L7" s="1529"/>
      <c r="M7" s="1529"/>
    </row>
    <row r="8" spans="1:29" ht="18" customHeight="1">
      <c r="A8" s="1540"/>
      <c r="B8" s="1540"/>
      <c r="C8" s="1540"/>
      <c r="D8" s="1540"/>
      <c r="E8" s="1540"/>
      <c r="F8" s="1540"/>
      <c r="G8" s="1540"/>
      <c r="H8" s="1540"/>
      <c r="I8" s="1540"/>
      <c r="J8" s="1540"/>
      <c r="K8" s="1540"/>
      <c r="L8" s="1540"/>
      <c r="M8" s="1540"/>
    </row>
    <row r="9" spans="1:29" ht="18" customHeight="1">
      <c r="A9" s="511"/>
      <c r="B9" s="511"/>
      <c r="C9" s="511"/>
      <c r="D9" s="511"/>
      <c r="E9" s="511"/>
      <c r="F9" s="511"/>
      <c r="G9" s="511"/>
      <c r="H9" s="511"/>
      <c r="I9" s="511"/>
      <c r="J9" s="511"/>
      <c r="K9" s="511"/>
      <c r="L9" s="511"/>
      <c r="M9" s="511"/>
    </row>
    <row r="10" spans="1:29" ht="19.5" customHeight="1">
      <c r="A10" s="570"/>
      <c r="B10" s="571"/>
      <c r="C10" s="572" t="s">
        <v>462</v>
      </c>
      <c r="E10" s="572" t="s">
        <v>463</v>
      </c>
      <c r="G10" s="572" t="s">
        <v>464</v>
      </c>
      <c r="I10" s="572" t="s">
        <v>465</v>
      </c>
      <c r="K10" s="572" t="s">
        <v>385</v>
      </c>
      <c r="M10" s="572" t="s">
        <v>386</v>
      </c>
    </row>
    <row r="11" spans="1:29" ht="18">
      <c r="A11" s="574"/>
      <c r="B11" s="575"/>
      <c r="C11" s="575"/>
      <c r="D11" s="575"/>
      <c r="E11" s="172"/>
      <c r="F11" s="172"/>
      <c r="G11" s="172"/>
      <c r="H11" s="172"/>
      <c r="I11" s="172"/>
      <c r="J11" s="172"/>
      <c r="K11" s="172"/>
      <c r="L11" s="172"/>
      <c r="M11" s="172"/>
      <c r="Q11" s="413"/>
      <c r="R11" s="413"/>
      <c r="S11" s="413"/>
      <c r="T11" s="413"/>
      <c r="U11" s="413"/>
      <c r="V11" s="413"/>
      <c r="W11" s="413"/>
      <c r="X11" s="413"/>
      <c r="Y11" s="413"/>
      <c r="Z11" s="413"/>
      <c r="AA11" s="413"/>
      <c r="AB11" s="413"/>
      <c r="AC11" s="413"/>
    </row>
    <row r="12" spans="1:29" ht="19.5">
      <c r="A12" s="574" t="s">
        <v>469</v>
      </c>
      <c r="B12" s="575"/>
      <c r="C12" s="575"/>
      <c r="D12" s="575"/>
      <c r="E12" s="576" t="s">
        <v>420</v>
      </c>
      <c r="F12" s="574"/>
      <c r="G12" s="574"/>
      <c r="H12" s="574"/>
      <c r="I12" s="574"/>
      <c r="J12" s="574"/>
      <c r="K12" s="577"/>
      <c r="L12" s="577"/>
      <c r="M12" s="578"/>
    </row>
    <row r="13" spans="1:29" ht="19.5">
      <c r="A13" s="579" t="s">
        <v>419</v>
      </c>
      <c r="B13" s="575"/>
      <c r="C13" s="579" t="s">
        <v>112</v>
      </c>
      <c r="D13" s="575"/>
      <c r="E13" s="580" t="s">
        <v>483</v>
      </c>
      <c r="F13" s="574"/>
      <c r="G13" s="579" t="s">
        <v>116</v>
      </c>
      <c r="H13" s="574"/>
      <c r="I13" s="579" t="s">
        <v>461</v>
      </c>
      <c r="J13" s="574"/>
      <c r="K13" s="581" t="s">
        <v>481</v>
      </c>
      <c r="L13" s="582"/>
      <c r="M13" s="581" t="s">
        <v>117</v>
      </c>
    </row>
    <row r="14" spans="1:29" ht="19.5">
      <c r="A14" s="583"/>
      <c r="B14" s="571"/>
      <c r="C14" s="584"/>
      <c r="D14" s="584"/>
      <c r="E14" s="584" t="s">
        <v>335</v>
      </c>
      <c r="F14" s="584"/>
      <c r="G14" s="584"/>
      <c r="H14" s="584"/>
      <c r="I14" s="584"/>
      <c r="J14" s="584"/>
      <c r="K14" s="585"/>
      <c r="L14" s="585"/>
    </row>
    <row r="15" spans="1:29" ht="19.5">
      <c r="A15" s="570"/>
      <c r="B15" s="571"/>
      <c r="C15" s="571"/>
      <c r="D15" s="571"/>
      <c r="E15" s="586"/>
      <c r="F15" s="587"/>
      <c r="G15" s="587"/>
      <c r="H15" s="587"/>
      <c r="I15" s="588"/>
      <c r="J15" s="587"/>
      <c r="K15" s="585"/>
      <c r="L15" s="585"/>
    </row>
    <row r="16" spans="1:29" ht="19.5">
      <c r="A16" s="570">
        <v>1</v>
      </c>
      <c r="B16" s="571"/>
      <c r="C16" s="589" t="s">
        <v>128</v>
      </c>
      <c r="D16" s="571"/>
      <c r="E16" s="585"/>
      <c r="F16" s="585"/>
      <c r="G16" s="590"/>
      <c r="H16" s="590"/>
      <c r="I16" s="590"/>
      <c r="J16" s="590"/>
      <c r="K16" s="590"/>
      <c r="L16" s="590"/>
      <c r="M16" s="591"/>
    </row>
    <row r="17" spans="1:15" ht="19.5">
      <c r="A17" s="570">
        <f>+A16+1</f>
        <v>2</v>
      </c>
      <c r="B17" s="571"/>
      <c r="C17" s="587" t="s">
        <v>113</v>
      </c>
      <c r="D17" s="571"/>
      <c r="E17" s="592">
        <f>+'WS H-p2 Detail of Tax Amts'!E14</f>
        <v>7</v>
      </c>
      <c r="F17" s="585"/>
      <c r="G17" s="590"/>
      <c r="H17" s="590"/>
      <c r="I17" s="590"/>
      <c r="J17" s="590"/>
      <c r="K17" s="590"/>
      <c r="L17" s="590"/>
      <c r="M17" s="591">
        <f>+E17</f>
        <v>7</v>
      </c>
    </row>
    <row r="18" spans="1:15" ht="19.5">
      <c r="A18" s="570"/>
      <c r="B18" s="571"/>
      <c r="C18" s="577"/>
      <c r="D18" s="571"/>
      <c r="E18" s="593"/>
      <c r="F18" s="585"/>
      <c r="G18" s="590"/>
      <c r="H18" s="590"/>
      <c r="I18" s="590"/>
      <c r="J18" s="590"/>
      <c r="K18" s="590"/>
      <c r="L18" s="590"/>
      <c r="M18" s="591"/>
    </row>
    <row r="19" spans="1:15" ht="19.5">
      <c r="A19" s="570">
        <f>+A17+1</f>
        <v>3</v>
      </c>
      <c r="B19" s="571"/>
      <c r="C19" s="589" t="s">
        <v>129</v>
      </c>
      <c r="D19" s="571"/>
      <c r="E19" s="593"/>
      <c r="F19" s="585"/>
      <c r="G19" s="590"/>
      <c r="H19" s="590"/>
      <c r="I19" s="590"/>
      <c r="J19" s="590"/>
      <c r="K19" s="590"/>
      <c r="L19" s="590"/>
      <c r="M19" s="591"/>
    </row>
    <row r="20" spans="1:15" ht="19.5">
      <c r="A20" s="570">
        <f>+A19+1</f>
        <v>4</v>
      </c>
      <c r="B20" s="571"/>
      <c r="C20" s="587" t="s">
        <v>812</v>
      </c>
      <c r="D20" s="587"/>
      <c r="E20" s="592">
        <f>'WS H-p2 Detail of Tax Amts'!E23</f>
        <v>10739870</v>
      </c>
      <c r="F20" s="587"/>
      <c r="G20" s="590">
        <f>+E20</f>
        <v>10739870</v>
      </c>
      <c r="H20" s="590"/>
      <c r="I20" s="590"/>
      <c r="J20" s="590"/>
      <c r="K20" s="590"/>
      <c r="L20" s="590"/>
      <c r="M20" s="591"/>
      <c r="O20" s="172"/>
    </row>
    <row r="21" spans="1:15" ht="19.5">
      <c r="A21" s="570">
        <f>+A20+1</f>
        <v>5</v>
      </c>
      <c r="B21" s="571"/>
      <c r="C21" s="587" t="s">
        <v>813</v>
      </c>
      <c r="D21" s="587"/>
      <c r="E21" s="592">
        <f>'WS H-p2 Detail of Tax Amts'!E30</f>
        <v>21687583</v>
      </c>
      <c r="F21" s="587"/>
      <c r="G21" s="590">
        <f>+E21</f>
        <v>21687583</v>
      </c>
      <c r="H21" s="590"/>
      <c r="I21" s="590"/>
      <c r="J21" s="590"/>
      <c r="K21" s="590"/>
      <c r="L21" s="590"/>
      <c r="M21" s="591"/>
      <c r="O21" s="172"/>
    </row>
    <row r="22" spans="1:15" ht="19.5">
      <c r="A22" s="570">
        <f>+A21+1</f>
        <v>6</v>
      </c>
      <c r="B22" s="571"/>
      <c r="C22" s="587" t="s">
        <v>619</v>
      </c>
      <c r="D22" s="587"/>
      <c r="E22" s="592">
        <f>'WS H-p2 Detail of Tax Amts'!E37</f>
        <v>0</v>
      </c>
      <c r="F22" s="587"/>
      <c r="G22" s="590">
        <f>+E22</f>
        <v>0</v>
      </c>
      <c r="H22" s="590"/>
      <c r="I22" s="590"/>
      <c r="J22" s="590"/>
      <c r="K22" s="590"/>
      <c r="L22" s="590"/>
      <c r="M22" s="591"/>
      <c r="O22" s="172"/>
    </row>
    <row r="23" spans="1:15" ht="19.5">
      <c r="A23" s="570">
        <f>+A22+1</f>
        <v>7</v>
      </c>
      <c r="B23" s="571"/>
      <c r="C23" s="587" t="s">
        <v>253</v>
      </c>
      <c r="D23" s="594"/>
      <c r="E23" s="592">
        <f>+'WS H-p2 Detail of Tax Amts'!E40</f>
        <v>0</v>
      </c>
      <c r="F23" s="585"/>
      <c r="G23" s="590">
        <f>+E23</f>
        <v>0</v>
      </c>
      <c r="H23" s="590"/>
      <c r="I23" s="590"/>
      <c r="J23" s="590"/>
      <c r="K23" s="590"/>
      <c r="L23" s="590"/>
      <c r="M23" s="591"/>
      <c r="O23" s="172"/>
    </row>
    <row r="24" spans="1:15" ht="19.5">
      <c r="A24" s="570"/>
      <c r="B24" s="571"/>
      <c r="C24" s="577"/>
      <c r="D24" s="571"/>
      <c r="E24" s="593"/>
      <c r="F24" s="585"/>
      <c r="G24" s="590"/>
      <c r="H24" s="590"/>
      <c r="I24" s="590"/>
      <c r="J24" s="590"/>
      <c r="K24" s="590"/>
      <c r="L24" s="590"/>
      <c r="M24" s="591"/>
      <c r="O24" s="595"/>
    </row>
    <row r="25" spans="1:15" ht="19.5">
      <c r="A25" s="570">
        <f>+A23+1</f>
        <v>8</v>
      </c>
      <c r="B25" s="571"/>
      <c r="C25" s="589" t="s">
        <v>130</v>
      </c>
      <c r="D25" s="571"/>
      <c r="E25" s="593"/>
      <c r="F25" s="585"/>
      <c r="G25" s="590"/>
      <c r="H25" s="590"/>
      <c r="I25" s="590"/>
      <c r="J25" s="590"/>
      <c r="K25" s="590"/>
      <c r="L25" s="590"/>
      <c r="M25" s="591"/>
      <c r="O25" s="595"/>
    </row>
    <row r="26" spans="1:15" ht="19.5">
      <c r="A26" s="570">
        <f>+A25+1</f>
        <v>9</v>
      </c>
      <c r="B26" s="571"/>
      <c r="C26" s="587" t="s">
        <v>126</v>
      </c>
      <c r="D26" s="571"/>
      <c r="E26" s="592">
        <f>+'WS H-p2 Detail of Tax Amts'!E50</f>
        <v>0</v>
      </c>
      <c r="F26" s="585"/>
      <c r="G26" s="590"/>
      <c r="H26" s="590"/>
      <c r="I26" s="590">
        <f>+E26</f>
        <v>0</v>
      </c>
      <c r="J26" s="590"/>
      <c r="K26" s="590"/>
      <c r="L26" s="590"/>
      <c r="M26" s="591"/>
      <c r="O26" s="595"/>
    </row>
    <row r="27" spans="1:15" ht="19.5">
      <c r="A27" s="570">
        <f>+A26+1</f>
        <v>10</v>
      </c>
      <c r="B27" s="571"/>
      <c r="C27" s="587" t="s">
        <v>119</v>
      </c>
      <c r="D27" s="571"/>
      <c r="E27" s="592">
        <f>+'WS H-p2 Detail of Tax Amts'!E52</f>
        <v>0</v>
      </c>
      <c r="F27" s="585"/>
      <c r="G27" s="585"/>
      <c r="H27" s="585"/>
      <c r="I27" s="591">
        <f>+E27</f>
        <v>0</v>
      </c>
      <c r="J27" s="587"/>
      <c r="K27" s="585"/>
      <c r="L27" s="585"/>
      <c r="M27" s="591"/>
    </row>
    <row r="28" spans="1:15" ht="19.5">
      <c r="A28" s="570">
        <f>+A27+1</f>
        <v>11</v>
      </c>
      <c r="B28" s="571"/>
      <c r="C28" s="587" t="s">
        <v>120</v>
      </c>
      <c r="D28" s="571"/>
      <c r="E28" s="592">
        <f>+'WS H-p2 Detail of Tax Amts'!E54</f>
        <v>0</v>
      </c>
      <c r="F28" s="585"/>
      <c r="G28" s="585"/>
      <c r="H28" s="585"/>
      <c r="I28" s="591">
        <f>+E28</f>
        <v>0</v>
      </c>
      <c r="J28" s="586"/>
      <c r="K28" s="585"/>
      <c r="L28" s="585"/>
      <c r="M28" s="591"/>
    </row>
    <row r="29" spans="1:15" ht="19.5">
      <c r="A29" s="570" t="s">
        <v>416</v>
      </c>
      <c r="B29" s="571"/>
      <c r="C29" s="585"/>
      <c r="D29" s="571"/>
      <c r="E29" s="593"/>
      <c r="F29" s="585"/>
      <c r="G29" s="585"/>
      <c r="H29" s="585"/>
      <c r="I29" s="596"/>
      <c r="J29" s="597"/>
      <c r="K29" s="598"/>
      <c r="L29" s="598"/>
      <c r="M29" s="591"/>
    </row>
    <row r="30" spans="1:15" ht="19.5">
      <c r="A30" s="570">
        <f>A28+1</f>
        <v>12</v>
      </c>
      <c r="B30" s="571"/>
      <c r="C30" s="599" t="s">
        <v>322</v>
      </c>
      <c r="D30" s="571"/>
      <c r="E30" s="600"/>
      <c r="F30" s="601"/>
      <c r="G30" s="601"/>
      <c r="H30" s="601"/>
      <c r="I30" s="602"/>
      <c r="J30" s="603"/>
      <c r="K30" s="604"/>
      <c r="L30" s="604"/>
      <c r="M30" s="605"/>
    </row>
    <row r="31" spans="1:15" ht="19.5">
      <c r="A31" s="570">
        <f>A30+1</f>
        <v>13</v>
      </c>
      <c r="B31" s="571"/>
      <c r="C31" s="587" t="s">
        <v>224</v>
      </c>
      <c r="D31" s="594"/>
      <c r="E31" s="592">
        <f>+'WS H-p2 Detail of Tax Amts'!E59</f>
        <v>0</v>
      </c>
      <c r="F31" s="606"/>
      <c r="G31" s="585"/>
      <c r="H31" s="585"/>
      <c r="I31" s="596"/>
      <c r="J31" s="597"/>
      <c r="K31" s="598"/>
      <c r="L31" s="598"/>
      <c r="M31" s="591">
        <f>E31</f>
        <v>0</v>
      </c>
    </row>
    <row r="32" spans="1:15" ht="19.5">
      <c r="A32" s="570"/>
      <c r="B32" s="571"/>
      <c r="C32" s="585"/>
      <c r="D32" s="571"/>
      <c r="E32" s="593"/>
      <c r="F32" s="585"/>
      <c r="G32" s="585"/>
      <c r="H32" s="585"/>
      <c r="I32" s="596"/>
      <c r="J32" s="597"/>
      <c r="K32" s="598"/>
      <c r="L32" s="598"/>
      <c r="M32" s="591"/>
    </row>
    <row r="33" spans="1:13" ht="19.5">
      <c r="A33" s="607">
        <f>A31+1</f>
        <v>14</v>
      </c>
      <c r="B33" s="608"/>
      <c r="C33" s="589" t="s">
        <v>127</v>
      </c>
      <c r="D33" s="609"/>
      <c r="E33" s="593"/>
      <c r="F33" s="585"/>
      <c r="G33" s="591"/>
      <c r="H33" s="591"/>
      <c r="I33" s="591"/>
      <c r="J33" s="591"/>
      <c r="K33" s="591"/>
      <c r="L33" s="591"/>
      <c r="M33" s="591"/>
    </row>
    <row r="34" spans="1:13" ht="19.5">
      <c r="A34" s="607">
        <f>A33+1</f>
        <v>15</v>
      </c>
      <c r="B34" s="608"/>
      <c r="C34" s="587" t="s">
        <v>223</v>
      </c>
      <c r="D34" s="609"/>
      <c r="E34" s="592">
        <f>+'WS H-p2 Detail of Tax Amts'!E62</f>
        <v>0</v>
      </c>
      <c r="F34" s="606"/>
      <c r="G34" s="591"/>
      <c r="H34" s="591"/>
      <c r="I34" s="591"/>
      <c r="J34" s="591"/>
      <c r="K34" s="591"/>
      <c r="L34" s="591"/>
      <c r="M34" s="591">
        <f>E34</f>
        <v>0</v>
      </c>
    </row>
    <row r="35" spans="1:13" ht="19.5">
      <c r="A35" s="570">
        <f>A34+1</f>
        <v>16</v>
      </c>
      <c r="B35" s="571"/>
      <c r="C35" s="587" t="s">
        <v>121</v>
      </c>
      <c r="D35" s="571"/>
      <c r="E35" s="610">
        <f>+'WS H-p2 Detail of Tax Amts'!E65</f>
        <v>0</v>
      </c>
      <c r="F35" s="585"/>
      <c r="G35" s="591"/>
      <c r="H35" s="591"/>
      <c r="I35" s="591"/>
      <c r="J35" s="591"/>
      <c r="K35" s="591">
        <f>+E35</f>
        <v>0</v>
      </c>
      <c r="L35" s="591"/>
      <c r="M35" s="591"/>
    </row>
    <row r="36" spans="1:13" ht="19.5">
      <c r="A36" s="570">
        <f t="shared" ref="A36:A41" si="0">+A35+1</f>
        <v>17</v>
      </c>
      <c r="B36" s="571"/>
      <c r="C36" s="587" t="s">
        <v>122</v>
      </c>
      <c r="D36" s="172"/>
      <c r="E36" s="610">
        <f>+'WS H-p2 Detail of Tax Amts'!E69</f>
        <v>0</v>
      </c>
      <c r="F36" s="585"/>
      <c r="G36" s="610"/>
      <c r="H36" s="610"/>
      <c r="I36" s="610"/>
      <c r="J36" s="610"/>
      <c r="K36" s="591">
        <f>+E36</f>
        <v>0</v>
      </c>
      <c r="L36" s="610"/>
      <c r="M36" s="591"/>
    </row>
    <row r="37" spans="1:13" ht="19.5">
      <c r="A37" s="570">
        <f>+A36+1</f>
        <v>18</v>
      </c>
      <c r="B37" s="571"/>
      <c r="C37" s="587" t="s">
        <v>123</v>
      </c>
      <c r="D37" s="172"/>
      <c r="E37" s="610">
        <f>'WS H-p2 Detail of Tax Amts'!E81</f>
        <v>0</v>
      </c>
      <c r="F37" s="585"/>
      <c r="G37" s="591"/>
      <c r="H37" s="591"/>
      <c r="I37" s="591"/>
      <c r="J37" s="591"/>
      <c r="K37" s="591">
        <f>+E37</f>
        <v>0</v>
      </c>
      <c r="L37" s="591"/>
      <c r="M37" s="591"/>
    </row>
    <row r="38" spans="1:13" ht="19.5">
      <c r="A38" s="570">
        <f t="shared" si="0"/>
        <v>19</v>
      </c>
      <c r="B38" s="571"/>
      <c r="C38" s="587" t="s">
        <v>124</v>
      </c>
      <c r="D38" s="571"/>
      <c r="E38" s="610">
        <f>+'WS H-p2 Detail of Tax Amts'!E86</f>
        <v>0</v>
      </c>
      <c r="F38" s="585"/>
      <c r="G38" s="591"/>
      <c r="H38" s="591"/>
      <c r="I38" s="591"/>
      <c r="J38" s="591"/>
      <c r="K38" s="591">
        <f>+E38</f>
        <v>0</v>
      </c>
      <c r="L38" s="591"/>
      <c r="M38" s="591"/>
    </row>
    <row r="39" spans="1:13" ht="19.5">
      <c r="A39" s="570">
        <f t="shared" si="0"/>
        <v>20</v>
      </c>
      <c r="B39" s="571"/>
      <c r="C39" s="587" t="s">
        <v>125</v>
      </c>
      <c r="D39" s="571"/>
      <c r="E39" s="610">
        <f>+'WS H-p2 Detail of Tax Amts'!E90</f>
        <v>6</v>
      </c>
      <c r="F39" s="606"/>
      <c r="G39" s="591"/>
      <c r="H39" s="591"/>
      <c r="I39" s="591"/>
      <c r="J39" s="591"/>
      <c r="K39" s="591"/>
      <c r="L39" s="591"/>
      <c r="M39" s="591">
        <f>+E39</f>
        <v>6</v>
      </c>
    </row>
    <row r="40" spans="1:13" ht="19.5">
      <c r="A40" s="570">
        <f t="shared" si="0"/>
        <v>21</v>
      </c>
      <c r="B40" s="585"/>
      <c r="C40" s="587" t="s">
        <v>114</v>
      </c>
      <c r="D40" s="585"/>
      <c r="E40" s="610">
        <f>+'WS H-p2 Detail of Tax Amts'!E96</f>
        <v>0</v>
      </c>
      <c r="F40" s="585"/>
      <c r="G40" s="591"/>
      <c r="H40" s="591"/>
      <c r="I40" s="591"/>
      <c r="J40" s="591"/>
      <c r="K40" s="591"/>
      <c r="L40" s="591"/>
      <c r="M40" s="591">
        <f>+E40</f>
        <v>0</v>
      </c>
    </row>
    <row r="41" spans="1:13" ht="19.5">
      <c r="A41" s="570">
        <f t="shared" si="0"/>
        <v>22</v>
      </c>
      <c r="B41" s="585"/>
      <c r="C41" s="587" t="s">
        <v>408</v>
      </c>
      <c r="D41" s="606"/>
      <c r="E41" s="610">
        <v>0</v>
      </c>
      <c r="F41" s="606"/>
      <c r="G41" s="591"/>
      <c r="H41" s="591"/>
      <c r="I41" s="591"/>
      <c r="J41" s="591"/>
      <c r="K41" s="591"/>
      <c r="L41" s="591"/>
      <c r="M41" s="591">
        <f>+E41</f>
        <v>0</v>
      </c>
    </row>
    <row r="42" spans="1:13" ht="19.5">
      <c r="A42" s="308"/>
      <c r="B42" s="208"/>
      <c r="C42" s="587"/>
      <c r="D42" s="172"/>
      <c r="E42" s="172"/>
      <c r="F42" s="585"/>
      <c r="H42" s="611"/>
      <c r="I42" s="612"/>
      <c r="J42" s="612"/>
      <c r="K42" s="598"/>
      <c r="L42" s="613"/>
      <c r="M42" s="613"/>
    </row>
    <row r="43" spans="1:13" ht="20.25" thickBot="1">
      <c r="A43" s="614">
        <f>+A41+1</f>
        <v>23</v>
      </c>
      <c r="B43" s="208"/>
      <c r="C43" s="587" t="s">
        <v>118</v>
      </c>
      <c r="D43" s="172"/>
      <c r="E43" s="615">
        <f>SUM(E17:E41)</f>
        <v>32427466</v>
      </c>
      <c r="F43" s="585"/>
      <c r="G43" s="615">
        <f>SUM(G17:G41)</f>
        <v>32427453</v>
      </c>
      <c r="H43" s="611"/>
      <c r="I43" s="615">
        <f>SUM(I17:I41)</f>
        <v>0</v>
      </c>
      <c r="J43" s="612"/>
      <c r="K43" s="615">
        <f>SUM(K17:K41)</f>
        <v>0</v>
      </c>
      <c r="L43" s="613"/>
      <c r="M43" s="615">
        <f>SUM(M17:M41)</f>
        <v>13</v>
      </c>
    </row>
    <row r="44" spans="1:13" ht="20.25" thickTop="1">
      <c r="A44" s="308"/>
      <c r="B44" s="208"/>
      <c r="C44" s="587" t="s">
        <v>183</v>
      </c>
      <c r="D44" s="172"/>
      <c r="E44" s="172"/>
      <c r="F44" s="585"/>
      <c r="G44" s="611"/>
      <c r="H44" s="611"/>
      <c r="I44" s="612"/>
      <c r="J44" s="203"/>
      <c r="K44" s="613"/>
      <c r="L44" s="613"/>
      <c r="M44" s="613"/>
    </row>
    <row r="45" spans="1:13" ht="19.5">
      <c r="A45" s="308"/>
      <c r="B45" s="208"/>
      <c r="C45" s="587" t="s">
        <v>7</v>
      </c>
      <c r="D45" s="172"/>
      <c r="E45" s="172"/>
      <c r="F45" s="585"/>
      <c r="G45" s="611"/>
      <c r="H45" s="611"/>
      <c r="I45" s="612"/>
      <c r="J45" s="203"/>
      <c r="K45" s="613"/>
      <c r="L45" s="613"/>
      <c r="M45" s="613"/>
    </row>
    <row r="46" spans="1:13" ht="19.5">
      <c r="A46" s="308"/>
      <c r="B46" s="208"/>
      <c r="C46" s="1543" t="s">
        <v>252</v>
      </c>
      <c r="D46" s="1543"/>
      <c r="E46" s="1543"/>
      <c r="F46" s="1543"/>
      <c r="G46" s="1543"/>
      <c r="H46" s="1543"/>
      <c r="I46" s="1543"/>
      <c r="J46" s="1543"/>
      <c r="K46" s="1543"/>
      <c r="L46" s="1543"/>
      <c r="M46" s="1543"/>
    </row>
    <row r="47" spans="1:13" ht="78">
      <c r="A47" s="570"/>
      <c r="C47" s="585"/>
      <c r="D47" s="585"/>
      <c r="E47" s="616" t="s">
        <v>323</v>
      </c>
      <c r="G47" s="617" t="s">
        <v>417</v>
      </c>
      <c r="H47" s="617"/>
      <c r="I47" s="616" t="s">
        <v>324</v>
      </c>
      <c r="J47" s="617"/>
      <c r="K47" s="617" t="s">
        <v>138</v>
      </c>
      <c r="L47" s="617"/>
      <c r="M47" s="617" t="s">
        <v>420</v>
      </c>
    </row>
    <row r="48" spans="1:13" ht="19.5">
      <c r="A48" s="618">
        <f>+A43+1</f>
        <v>24</v>
      </c>
      <c r="B48" s="619"/>
      <c r="C48" s="620" t="str">
        <f>"Functionalized Net Plant (TCOS, Lns "&amp;TCOS!B79&amp;" thru "&amp;TCOS!B82&amp;")"</f>
        <v>Functionalized Net Plant (TCOS, Lns 33 thru 36)</v>
      </c>
      <c r="D48" s="606"/>
      <c r="E48" s="621">
        <v>0</v>
      </c>
      <c r="F48" s="620"/>
      <c r="G48" s="621">
        <f>+TCOS!G79</f>
        <v>2874846611.6646156</v>
      </c>
      <c r="H48" s="620"/>
      <c r="I48" s="621">
        <v>0</v>
      </c>
      <c r="J48" s="620"/>
      <c r="K48" s="622">
        <f>+TCOS!G80</f>
        <v>54536748.499999993</v>
      </c>
      <c r="L48" s="606"/>
      <c r="M48" s="623">
        <f>SUM(E48:K48)</f>
        <v>2929383360.1646156</v>
      </c>
    </row>
    <row r="49" spans="1:21" ht="19.5">
      <c r="A49" s="618"/>
      <c r="B49" s="619"/>
      <c r="C49" s="577" t="s">
        <v>810</v>
      </c>
      <c r="D49" s="606"/>
      <c r="E49" s="623"/>
      <c r="F49" s="606"/>
      <c r="G49" s="624"/>
      <c r="H49" s="606"/>
      <c r="I49" s="623"/>
      <c r="J49" s="606"/>
      <c r="K49" s="625"/>
      <c r="L49" s="606"/>
      <c r="M49" s="626"/>
    </row>
    <row r="50" spans="1:21" ht="19.5">
      <c r="A50" s="618">
        <f>+A48+1</f>
        <v>25</v>
      </c>
      <c r="B50" s="619"/>
      <c r="C50" s="606" t="str">
        <f>"Percentage of Plant in "&amp;C49&amp;""</f>
        <v>Percentage of Plant in MICHIGAN JURISDICTION</v>
      </c>
      <c r="D50" s="606"/>
      <c r="E50" s="641"/>
      <c r="F50" s="627"/>
      <c r="G50" s="641"/>
      <c r="H50" s="627"/>
      <c r="I50" s="641"/>
      <c r="J50" s="627"/>
      <c r="K50" s="641"/>
      <c r="L50" s="606"/>
      <c r="M50" s="626"/>
    </row>
    <row r="51" spans="1:21" ht="19.5">
      <c r="A51" s="618">
        <f t="shared" ref="A51:A58" si="1">+A50+1</f>
        <v>26</v>
      </c>
      <c r="B51" s="619"/>
      <c r="C51" s="620" t="str">
        <f>"Net Plant in "&amp;C49&amp;" (Ln "&amp;A48&amp;" * Ln "&amp;A50&amp;")"</f>
        <v>Net Plant in MICHIGAN JURISDICTION (Ln 24 * Ln 25)</v>
      </c>
      <c r="D51" s="606"/>
      <c r="E51" s="623">
        <f>+E48*E50</f>
        <v>0</v>
      </c>
      <c r="F51" s="606"/>
      <c r="G51" s="623">
        <f>+G48*G50</f>
        <v>0</v>
      </c>
      <c r="H51" s="606"/>
      <c r="I51" s="623">
        <f>+I48*I50</f>
        <v>0</v>
      </c>
      <c r="J51" s="606"/>
      <c r="K51" s="623">
        <f>+K48*K50</f>
        <v>0</v>
      </c>
      <c r="L51" s="606"/>
      <c r="M51" s="623">
        <f>SUM(E51:K51)</f>
        <v>0</v>
      </c>
      <c r="O51" s="172"/>
    </row>
    <row r="52" spans="1:21" ht="19.5">
      <c r="A52" s="618">
        <f t="shared" si="1"/>
        <v>27</v>
      </c>
      <c r="B52" s="619"/>
      <c r="C52" s="620" t="s">
        <v>551</v>
      </c>
      <c r="D52" s="606"/>
      <c r="E52" s="641"/>
      <c r="F52" s="606"/>
      <c r="G52" s="628"/>
      <c r="H52" s="606"/>
      <c r="I52" s="628"/>
      <c r="J52" s="606"/>
      <c r="K52" s="629"/>
      <c r="L52" s="606"/>
      <c r="M52" s="623"/>
      <c r="O52" s="172"/>
    </row>
    <row r="53" spans="1:21" ht="19.5">
      <c r="A53" s="618">
        <f t="shared" si="1"/>
        <v>28</v>
      </c>
      <c r="B53" s="619"/>
      <c r="C53" s="606" t="str">
        <f>"Taxable Property Basis (Ln "&amp;A51&amp;" - Ln "&amp;A52&amp;")"</f>
        <v>Taxable Property Basis (Ln 26 - Ln 27)</v>
      </c>
      <c r="D53" s="606"/>
      <c r="E53" s="623">
        <f>+E51-E52</f>
        <v>0</v>
      </c>
      <c r="F53" s="606"/>
      <c r="G53" s="623">
        <f>+G51-G52</f>
        <v>0</v>
      </c>
      <c r="H53" s="606"/>
      <c r="I53" s="623">
        <f>+I51-I52</f>
        <v>0</v>
      </c>
      <c r="J53" s="606"/>
      <c r="K53" s="623">
        <f>+K51-K52</f>
        <v>0</v>
      </c>
      <c r="L53" s="606"/>
      <c r="M53" s="623">
        <f>SUM(E53:K53)</f>
        <v>0</v>
      </c>
      <c r="O53" s="172"/>
    </row>
    <row r="54" spans="1:21" ht="19.5">
      <c r="A54" s="618">
        <f t="shared" si="1"/>
        <v>29</v>
      </c>
      <c r="B54" s="619"/>
      <c r="C54" s="610" t="s">
        <v>250</v>
      </c>
      <c r="D54" s="606"/>
      <c r="E54" s="641"/>
      <c r="F54" s="627"/>
      <c r="G54" s="641"/>
      <c r="H54" s="627"/>
      <c r="I54" s="641"/>
      <c r="J54" s="627"/>
      <c r="K54" s="641"/>
      <c r="L54" s="606"/>
      <c r="M54" s="623">
        <f>SUM(E54:K54)</f>
        <v>0</v>
      </c>
      <c r="O54" s="172"/>
    </row>
    <row r="55" spans="1:21" ht="19.5">
      <c r="A55" s="618">
        <f t="shared" si="1"/>
        <v>30</v>
      </c>
      <c r="B55" s="619"/>
      <c r="C55" s="620" t="str">
        <f>"Weighted Net Plant (Ln "&amp;A53&amp;" * Ln "&amp;A54&amp;")"</f>
        <v>Weighted Net Plant (Ln 28 * Ln 29)</v>
      </c>
      <c r="D55" s="606"/>
      <c r="E55" s="623">
        <f>+E53*E54</f>
        <v>0</v>
      </c>
      <c r="F55" s="606"/>
      <c r="G55" s="623">
        <f>+G53*G54</f>
        <v>0</v>
      </c>
      <c r="H55" s="606"/>
      <c r="I55" s="623">
        <f>+I53*I54</f>
        <v>0</v>
      </c>
      <c r="J55" s="606"/>
      <c r="K55" s="623">
        <f>+K53*K54</f>
        <v>0</v>
      </c>
      <c r="L55" s="606"/>
      <c r="M55" s="623"/>
      <c r="O55" s="172"/>
      <c r="P55" s="172"/>
      <c r="Q55" s="172"/>
      <c r="R55" s="172"/>
      <c r="S55" s="172"/>
      <c r="T55" s="172"/>
      <c r="U55" s="172"/>
    </row>
    <row r="56" spans="1:21" ht="19.5">
      <c r="A56" s="618">
        <f t="shared" si="1"/>
        <v>31</v>
      </c>
      <c r="B56" s="619"/>
      <c r="C56" s="606" t="str">
        <f>+"General Plant Allocator (Ln "&amp;A55&amp;" / (Total - General Plant))"</f>
        <v>General Plant Allocator (Ln 30 / (Total - General Plant))</v>
      </c>
      <c r="D56" s="606"/>
      <c r="E56" s="630">
        <f>IF(E54=0,0,+E55/($E55+$G55+$I55))</f>
        <v>0</v>
      </c>
      <c r="F56" s="606"/>
      <c r="G56" s="630">
        <v>1</v>
      </c>
      <c r="H56" s="606"/>
      <c r="I56" s="630">
        <f>IF(I54=0,0,+I55/($E55+$G55+$I55))</f>
        <v>0</v>
      </c>
      <c r="J56" s="606"/>
      <c r="K56" s="630">
        <v>-1</v>
      </c>
      <c r="L56" s="606"/>
      <c r="M56" s="606"/>
      <c r="O56" s="172"/>
      <c r="P56" s="172"/>
      <c r="Q56" s="172"/>
      <c r="R56" s="172"/>
      <c r="S56" s="172"/>
      <c r="T56" s="172"/>
      <c r="U56" s="172"/>
    </row>
    <row r="57" spans="1:21" ht="19.5">
      <c r="A57" s="618">
        <f t="shared" si="1"/>
        <v>32</v>
      </c>
      <c r="B57" s="619"/>
      <c r="C57" s="606" t="str">
        <f>"Functionalized General Plant (Ln "&amp;A56&amp;" * General Plant)"</f>
        <v>Functionalized General Plant (Ln 31 * General Plant)</v>
      </c>
      <c r="D57" s="606"/>
      <c r="E57" s="631">
        <f>ROUND($K55*E56,0)</f>
        <v>0</v>
      </c>
      <c r="F57" s="606"/>
      <c r="G57" s="631">
        <f>+G56*K55</f>
        <v>0</v>
      </c>
      <c r="H57" s="606"/>
      <c r="I57" s="631">
        <f>ROUND($K55*I56,0)</f>
        <v>0</v>
      </c>
      <c r="J57" s="606"/>
      <c r="K57" s="631">
        <f>ROUND($K55*K56,0)</f>
        <v>0</v>
      </c>
      <c r="L57" s="606"/>
      <c r="M57" s="623">
        <f>IF(SUM(E57:K57)&lt;&gt;0,0,0)</f>
        <v>0</v>
      </c>
      <c r="O57" s="172"/>
      <c r="P57" s="172"/>
      <c r="Q57" s="172"/>
      <c r="R57" s="172"/>
      <c r="S57" s="172"/>
      <c r="T57" s="172"/>
      <c r="U57" s="172"/>
    </row>
    <row r="58" spans="1:21" ht="19.5">
      <c r="A58" s="618">
        <f t="shared" si="1"/>
        <v>33</v>
      </c>
      <c r="B58" s="619"/>
      <c r="C58" s="606" t="str">
        <f>"Weighted "&amp;C49&amp;" Plant (Ln "&amp;A55&amp;" + "&amp;A57&amp;")"</f>
        <v>Weighted MICHIGAN JURISDICTION Plant (Ln 30 + 32)</v>
      </c>
      <c r="D58" s="606"/>
      <c r="E58" s="623">
        <f>+E55+E57</f>
        <v>0</v>
      </c>
      <c r="F58" s="606"/>
      <c r="G58" s="625">
        <f>+G55+G57</f>
        <v>0</v>
      </c>
      <c r="H58" s="606"/>
      <c r="I58" s="623">
        <f>+I55+I57</f>
        <v>0</v>
      </c>
      <c r="J58" s="606"/>
      <c r="K58" s="623">
        <f>+K55+K57</f>
        <v>0</v>
      </c>
      <c r="L58" s="606"/>
      <c r="M58" s="623">
        <f>SUM(E58:K58)-SUM(E57:K57)</f>
        <v>0</v>
      </c>
      <c r="O58" s="172"/>
    </row>
    <row r="59" spans="1:21" ht="19.5">
      <c r="A59" s="618">
        <f>+A58+1</f>
        <v>34</v>
      </c>
      <c r="B59" s="619"/>
      <c r="C59" s="606" t="str">
        <f>"Functional Percentage (Ln "&amp;A58&amp;"/Total Ln "&amp;A58&amp;")"</f>
        <v>Functional Percentage (Ln 33/Total Ln 33)</v>
      </c>
      <c r="D59" s="606"/>
      <c r="E59" s="624">
        <f>IF(E58=0,0,+E58/$M$58)</f>
        <v>0</v>
      </c>
      <c r="F59" s="606"/>
      <c r="G59" s="624">
        <v>1</v>
      </c>
      <c r="H59" s="606"/>
      <c r="I59" s="624">
        <f>IF(I58=0,0,+I58/$M$58)</f>
        <v>0</v>
      </c>
      <c r="J59" s="606"/>
      <c r="K59" s="172"/>
      <c r="L59" s="606"/>
      <c r="M59" s="623"/>
      <c r="O59" s="172"/>
    </row>
    <row r="60" spans="1:21" ht="19.5">
      <c r="A60" s="618"/>
      <c r="B60" s="619"/>
      <c r="C60" s="638" t="s">
        <v>811</v>
      </c>
      <c r="D60" s="606"/>
      <c r="E60" s="623"/>
      <c r="F60" s="606"/>
      <c r="G60" s="632"/>
      <c r="H60" s="606"/>
      <c r="I60" s="623"/>
      <c r="J60" s="606"/>
      <c r="K60" s="624"/>
      <c r="L60" s="606"/>
      <c r="M60" s="623"/>
      <c r="O60" s="172"/>
    </row>
    <row r="61" spans="1:21" ht="19.5">
      <c r="A61" s="618">
        <f>A59+1</f>
        <v>35</v>
      </c>
      <c r="B61" s="619"/>
      <c r="C61" s="639" t="str">
        <f>"Net Plant in "&amp;C60&amp;" (Ln "&amp;A48&amp;" - Ln "&amp;A51&amp;")"</f>
        <v>Net Plant in INDIANA JURISDICTION (Ln 24 - Ln 26)</v>
      </c>
      <c r="D61" s="606"/>
      <c r="E61" s="623">
        <f>+E48-E51</f>
        <v>0</v>
      </c>
      <c r="F61" s="606"/>
      <c r="G61" s="623">
        <f>+G48-G51</f>
        <v>2874846611.6646156</v>
      </c>
      <c r="H61" s="606"/>
      <c r="I61" s="623">
        <f>+I48-I51</f>
        <v>0</v>
      </c>
      <c r="J61" s="606"/>
      <c r="K61" s="623">
        <f>+K48-K51</f>
        <v>54536748.499999993</v>
      </c>
      <c r="L61" s="606"/>
      <c r="M61" s="623">
        <f>SUM(E61:K61)</f>
        <v>2929383360.1646156</v>
      </c>
      <c r="O61" s="172"/>
    </row>
    <row r="62" spans="1:21" ht="19.5">
      <c r="A62" s="618">
        <f t="shared" ref="A62:A68" si="2">+A61+1</f>
        <v>36</v>
      </c>
      <c r="B62" s="619"/>
      <c r="C62" s="620" t="s">
        <v>550</v>
      </c>
      <c r="D62" s="606"/>
      <c r="E62" s="641"/>
      <c r="F62" s="606"/>
      <c r="G62" s="628"/>
      <c r="H62" s="606"/>
      <c r="I62" s="628"/>
      <c r="J62" s="606"/>
      <c r="K62" s="629"/>
      <c r="L62" s="606"/>
      <c r="M62" s="623"/>
      <c r="O62" s="172"/>
    </row>
    <row r="63" spans="1:21" ht="19.5">
      <c r="A63" s="618">
        <f t="shared" si="2"/>
        <v>37</v>
      </c>
      <c r="B63" s="619"/>
      <c r="C63" s="606" t="s">
        <v>251</v>
      </c>
      <c r="D63" s="606"/>
      <c r="E63" s="623">
        <f>+E61-E62</f>
        <v>0</v>
      </c>
      <c r="F63" s="606"/>
      <c r="G63" s="623">
        <f>+G61-G62</f>
        <v>2874846611.6646156</v>
      </c>
      <c r="H63" s="606"/>
      <c r="I63" s="623">
        <f>+I61-I62</f>
        <v>0</v>
      </c>
      <c r="J63" s="606"/>
      <c r="K63" s="623">
        <f>+K61-K62</f>
        <v>54536748.499999993</v>
      </c>
      <c r="L63" s="606"/>
      <c r="M63" s="623">
        <f>SUM(E63:K63)</f>
        <v>2929383360.1646156</v>
      </c>
      <c r="O63" s="172"/>
    </row>
    <row r="64" spans="1:21" ht="19.5">
      <c r="A64" s="618">
        <f t="shared" si="2"/>
        <v>38</v>
      </c>
      <c r="B64" s="619"/>
      <c r="C64" s="610" t="s">
        <v>250</v>
      </c>
      <c r="D64" s="606"/>
      <c r="E64" s="641"/>
      <c r="F64" s="627"/>
      <c r="G64" s="641"/>
      <c r="H64" s="627"/>
      <c r="I64" s="641"/>
      <c r="J64" s="627"/>
      <c r="K64" s="641"/>
      <c r="L64" s="606"/>
      <c r="M64" s="623"/>
      <c r="O64" s="172"/>
    </row>
    <row r="65" spans="1:15" ht="19.5">
      <c r="A65" s="618">
        <f t="shared" si="2"/>
        <v>39</v>
      </c>
      <c r="B65" s="619"/>
      <c r="C65" s="606" t="str">
        <f>"Weighted Net Plant (Ln "&amp;A63&amp;" * Ln "&amp;A64&amp;")"</f>
        <v>Weighted Net Plant (Ln 37 * Ln 38)</v>
      </c>
      <c r="D65" s="606"/>
      <c r="E65" s="623">
        <f>+E63*E64</f>
        <v>0</v>
      </c>
      <c r="F65" s="606"/>
      <c r="G65" s="623">
        <f>+G63*G64</f>
        <v>0</v>
      </c>
      <c r="H65" s="606"/>
      <c r="I65" s="623">
        <f>+I63*I64</f>
        <v>0</v>
      </c>
      <c r="J65" s="606"/>
      <c r="K65" s="623">
        <f>+K63*K64</f>
        <v>0</v>
      </c>
      <c r="L65" s="606"/>
      <c r="M65" s="623"/>
      <c r="O65" s="172"/>
    </row>
    <row r="66" spans="1:15" ht="19.5">
      <c r="A66" s="618">
        <f t="shared" si="2"/>
        <v>40</v>
      </c>
      <c r="B66" s="619"/>
      <c r="C66" s="606" t="str">
        <f>+"General Plant Allocator (Ln "&amp;A65&amp;" / (Total - General Plant)"</f>
        <v>General Plant Allocator (Ln 39 / (Total - General Plant)</v>
      </c>
      <c r="D66" s="606"/>
      <c r="E66" s="630">
        <f>IF(E64=0,0,+E65/($E65+$G65+$I65))</f>
        <v>0</v>
      </c>
      <c r="F66" s="606"/>
      <c r="G66" s="630">
        <v>1</v>
      </c>
      <c r="H66" s="606"/>
      <c r="I66" s="630">
        <f>IF(I64=0,0,+I65/($E65+$G65+$I65))</f>
        <v>0</v>
      </c>
      <c r="J66" s="606"/>
      <c r="K66" s="630">
        <v>-1</v>
      </c>
      <c r="L66" s="606"/>
      <c r="M66" s="623"/>
      <c r="O66" s="172"/>
    </row>
    <row r="67" spans="1:15" ht="19.5">
      <c r="A67" s="618">
        <f t="shared" si="2"/>
        <v>41</v>
      </c>
      <c r="B67" s="619"/>
      <c r="C67" s="606" t="str">
        <f>"Functionalized General Plant (Ln "&amp;A67&amp;" * General Plant)"</f>
        <v>Functionalized General Plant (Ln 41 * General Plant)</v>
      </c>
      <c r="D67" s="606"/>
      <c r="E67" s="631">
        <f>ROUND($K65*E66,0)</f>
        <v>0</v>
      </c>
      <c r="F67" s="606"/>
      <c r="G67" s="631">
        <f>ROUND($K65*G66,0)</f>
        <v>0</v>
      </c>
      <c r="H67" s="606"/>
      <c r="I67" s="631">
        <f>ROUND($K65*I66,0)</f>
        <v>0</v>
      </c>
      <c r="J67" s="606"/>
      <c r="K67" s="631">
        <f>ROUND($K65*K66,0)</f>
        <v>0</v>
      </c>
      <c r="L67" s="606"/>
      <c r="M67" s="623"/>
      <c r="O67" s="172"/>
    </row>
    <row r="68" spans="1:15" ht="19.5">
      <c r="A68" s="618">
        <f t="shared" si="2"/>
        <v>42</v>
      </c>
      <c r="B68" s="619"/>
      <c r="C68" s="640" t="str">
        <f>"Weighted "&amp;C60&amp;" Plant (Ln "&amp;A65&amp;" + "&amp;A67&amp;")"</f>
        <v>Weighted INDIANA JURISDICTION Plant (Ln 39 + 41)</v>
      </c>
      <c r="D68" s="606"/>
      <c r="E68" s="623">
        <f>+E65+E67</f>
        <v>0</v>
      </c>
      <c r="F68" s="606"/>
      <c r="G68" s="625">
        <f>+G65+G67</f>
        <v>0</v>
      </c>
      <c r="H68" s="606"/>
      <c r="I68" s="623">
        <f>+I65+I67</f>
        <v>0</v>
      </c>
      <c r="J68" s="606"/>
      <c r="K68" s="623">
        <f>+K65+K67</f>
        <v>0</v>
      </c>
      <c r="L68" s="606"/>
      <c r="M68" s="623">
        <f>SUM(E68:K68)-SUM(E67:K67)</f>
        <v>0</v>
      </c>
      <c r="O68" s="172"/>
    </row>
    <row r="69" spans="1:15" ht="19.5">
      <c r="A69" s="618">
        <f>+A68+1</f>
        <v>43</v>
      </c>
      <c r="B69" s="619"/>
      <c r="C69" s="606" t="str">
        <f>"Functional Percentage (Ln "&amp;A68&amp;"/Total Ln "&amp;A68&amp;")"</f>
        <v>Functional Percentage (Ln 42/Total Ln 42)</v>
      </c>
      <c r="D69" s="606"/>
      <c r="E69" s="624">
        <f>IF(E68=0,0,+E68/$M$68)</f>
        <v>0</v>
      </c>
      <c r="F69" s="606"/>
      <c r="G69" s="624">
        <v>1</v>
      </c>
      <c r="H69" s="606"/>
      <c r="I69" s="624">
        <f>IF(I68=0,0,+I68/$M$68)</f>
        <v>0</v>
      </c>
      <c r="J69" s="172"/>
      <c r="K69" s="172"/>
      <c r="L69" s="606"/>
      <c r="M69" s="623"/>
      <c r="O69" s="172"/>
    </row>
    <row r="70" spans="1:15" ht="19.5">
      <c r="A70" s="618"/>
      <c r="B70" s="619"/>
      <c r="C70" s="606"/>
      <c r="D70" s="606"/>
      <c r="E70" s="610"/>
      <c r="F70" s="610"/>
      <c r="G70" s="610"/>
      <c r="H70" s="610"/>
      <c r="I70" s="610"/>
      <c r="J70" s="606"/>
      <c r="K70" s="633"/>
      <c r="L70" s="606"/>
      <c r="M70" s="610"/>
      <c r="O70" s="172"/>
    </row>
    <row r="71" spans="1:15" ht="19.5">
      <c r="A71" s="618"/>
      <c r="B71" s="619"/>
      <c r="D71" s="606"/>
      <c r="E71" s="633"/>
      <c r="F71" s="606"/>
      <c r="G71" s="633"/>
      <c r="H71" s="606"/>
      <c r="I71" s="633"/>
      <c r="J71" s="606"/>
      <c r="K71" s="633"/>
      <c r="L71" s="606"/>
      <c r="M71" s="610"/>
      <c r="O71" s="172"/>
    </row>
    <row r="72" spans="1:15" ht="12.75">
      <c r="O72" s="172"/>
    </row>
    <row r="73" spans="1:15" ht="12.75">
      <c r="O73" s="172"/>
    </row>
    <row r="74" spans="1:15" ht="12.75">
      <c r="G74" s="636"/>
      <c r="O74" s="172"/>
    </row>
    <row r="215" spans="7:7" ht="15.75" thickBot="1"/>
    <row r="216" spans="7:7" ht="20.25" thickBot="1">
      <c r="G216" s="637"/>
    </row>
  </sheetData>
  <mergeCells count="7">
    <mergeCell ref="A8:M8"/>
    <mergeCell ref="A7:M7"/>
    <mergeCell ref="C46:M46"/>
    <mergeCell ref="A3:M3"/>
    <mergeCell ref="A4:M4"/>
    <mergeCell ref="A5:M5"/>
    <mergeCell ref="A6:M6"/>
  </mergeCells>
  <phoneticPr fontId="71"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4"/>
  <sheetViews>
    <sheetView view="pageBreakPreview" zoomScale="60" zoomScaleNormal="60" workbookViewId="0">
      <selection activeCell="H24" sqref="H2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95" t="s">
        <v>416</v>
      </c>
    </row>
    <row r="2" spans="1:20" ht="15.75">
      <c r="A2" s="995" t="s">
        <v>416</v>
      </c>
    </row>
    <row r="3" spans="1:20" ht="18.75" customHeight="1">
      <c r="A3" s="1506" t="str">
        <f>TCOS!$F$5</f>
        <v>AEPTCo subsidiaries in PJM</v>
      </c>
      <c r="B3" s="1506" t="str">
        <f>TCOS!$F$5</f>
        <v>AEPTCo subsidiaries in PJM</v>
      </c>
      <c r="C3" s="1506" t="str">
        <f>TCOS!$F$5</f>
        <v>AEPTCo subsidiaries in PJM</v>
      </c>
      <c r="D3" s="1506" t="str">
        <f>TCOS!$F$5</f>
        <v>AEPTCo subsidiaries in PJM</v>
      </c>
      <c r="E3" s="1506" t="str">
        <f>TCOS!$F$5</f>
        <v>AEPTCo subsidiaries in PJM</v>
      </c>
      <c r="F3" s="1546"/>
      <c r="G3" s="1546"/>
    </row>
    <row r="4" spans="1:20" ht="18.75" customHeight="1">
      <c r="A4" s="1506" t="str">
        <f>"Cost of Service Formula Rate Using Actual/Projected FF1 Balances"</f>
        <v>Cost of Service Formula Rate Using Actual/Projected FF1 Balances</v>
      </c>
      <c r="B4" s="1506"/>
      <c r="C4" s="1506"/>
      <c r="D4" s="1506"/>
      <c r="E4" s="1506"/>
      <c r="F4" s="1546"/>
      <c r="G4" s="1546"/>
      <c r="H4" s="1506"/>
      <c r="I4" s="1506"/>
      <c r="J4" s="1506"/>
      <c r="K4" s="1506"/>
      <c r="L4" s="1506"/>
      <c r="M4" s="1546"/>
    </row>
    <row r="5" spans="1:20" ht="18.75" customHeight="1">
      <c r="A5" s="1498" t="s">
        <v>256</v>
      </c>
      <c r="B5" s="1498"/>
      <c r="C5" s="1498"/>
      <c r="D5" s="1498"/>
      <c r="E5" s="1498"/>
      <c r="F5" s="1546"/>
      <c r="G5" s="1546"/>
    </row>
    <row r="6" spans="1:20" ht="18" customHeight="1">
      <c r="A6" s="1548" t="str">
        <f>+TCOS!F9</f>
        <v>AEP Indiana Michigan Transmission Company</v>
      </c>
      <c r="B6" s="1548"/>
      <c r="C6" s="1548"/>
      <c r="D6" s="1548"/>
      <c r="E6" s="1548"/>
      <c r="F6" s="1549"/>
      <c r="G6" s="1549"/>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270</v>
      </c>
      <c r="D11" s="120"/>
      <c r="E11" s="100" t="s">
        <v>483</v>
      </c>
      <c r="F11" s="99" t="s">
        <v>3</v>
      </c>
      <c r="G11" s="100" t="s">
        <v>4</v>
      </c>
    </row>
    <row r="12" spans="1:20" ht="18">
      <c r="A12" s="63"/>
      <c r="B12" s="62"/>
      <c r="C12" s="58"/>
      <c r="D12" s="58"/>
      <c r="E12" s="58"/>
      <c r="F12" s="118"/>
      <c r="G12" s="121"/>
    </row>
    <row r="13" spans="1:20" ht="19.5">
      <c r="A13" s="61">
        <v>1</v>
      </c>
      <c r="B13" s="62"/>
      <c r="C13" s="64" t="s">
        <v>128</v>
      </c>
      <c r="D13" s="62"/>
      <c r="E13" s="57"/>
      <c r="F13" s="60"/>
    </row>
    <row r="14" spans="1:20" ht="19.5">
      <c r="A14" s="61">
        <f>+A13+1</f>
        <v>2</v>
      </c>
      <c r="B14" s="62"/>
      <c r="C14" s="57" t="s">
        <v>113</v>
      </c>
      <c r="D14" s="62"/>
      <c r="E14" s="128">
        <f>SUM(F15:F21)</f>
        <v>7</v>
      </c>
      <c r="F14" s="70"/>
      <c r="G14" s="122"/>
    </row>
    <row r="15" spans="1:20" ht="19.5">
      <c r="A15" s="61"/>
      <c r="B15" s="62"/>
      <c r="C15" s="57"/>
      <c r="D15" s="1469">
        <v>2021</v>
      </c>
      <c r="E15" s="123"/>
      <c r="F15" s="1058">
        <v>2</v>
      </c>
      <c r="G15" s="124" t="s">
        <v>6</v>
      </c>
    </row>
    <row r="16" spans="1:20" ht="19.5">
      <c r="A16" s="61"/>
      <c r="B16" s="62"/>
      <c r="C16" s="57"/>
      <c r="D16" s="1469">
        <v>2020</v>
      </c>
      <c r="E16" s="123"/>
      <c r="F16" s="1058">
        <v>5</v>
      </c>
      <c r="G16" s="124" t="s">
        <v>955</v>
      </c>
    </row>
    <row r="17" spans="1:9" ht="19.5">
      <c r="A17" s="61"/>
      <c r="B17" s="62"/>
      <c r="C17" s="57"/>
      <c r="D17" s="62"/>
      <c r="E17" s="123"/>
      <c r="F17" s="1056"/>
      <c r="G17" s="124"/>
    </row>
    <row r="18" spans="1:9" ht="19.5">
      <c r="A18" s="1059"/>
      <c r="B18" s="1060"/>
      <c r="C18" s="999"/>
      <c r="D18" s="1060"/>
      <c r="E18" s="998"/>
      <c r="F18" s="997"/>
      <c r="G18" s="996"/>
      <c r="H18" s="1000"/>
      <c r="I18" s="1000"/>
    </row>
    <row r="19" spans="1:9" ht="18">
      <c r="A19" s="1244"/>
      <c r="B19" s="1245"/>
      <c r="C19" s="1247" t="s">
        <v>462</v>
      </c>
      <c r="D19" s="1247" t="s">
        <v>463</v>
      </c>
      <c r="E19" s="1248" t="s">
        <v>464</v>
      </c>
      <c r="F19" s="1248" t="s">
        <v>465</v>
      </c>
      <c r="G19" s="1248" t="s">
        <v>385</v>
      </c>
      <c r="H19" s="1249" t="s">
        <v>386</v>
      </c>
      <c r="I19" s="1248" t="s">
        <v>387</v>
      </c>
    </row>
    <row r="20" spans="1:9" ht="47.25">
      <c r="A20" s="1244"/>
      <c r="B20" s="1245"/>
      <c r="C20" s="1250" t="s">
        <v>698</v>
      </c>
      <c r="D20" s="1251" t="s">
        <v>694</v>
      </c>
      <c r="E20" s="1252" t="s">
        <v>695</v>
      </c>
      <c r="F20" s="1252" t="s">
        <v>696</v>
      </c>
      <c r="G20" s="1252" t="s">
        <v>4</v>
      </c>
      <c r="H20" s="1253" t="s">
        <v>697</v>
      </c>
      <c r="I20" s="1253" t="s">
        <v>699</v>
      </c>
    </row>
    <row r="21" spans="1:9" ht="19.5">
      <c r="A21" s="1244"/>
      <c r="B21" s="1245"/>
      <c r="C21" s="70"/>
      <c r="D21" s="1245"/>
      <c r="E21" s="128"/>
      <c r="F21" s="1003"/>
      <c r="G21" s="122"/>
      <c r="H21" s="122"/>
      <c r="I21" s="122"/>
    </row>
    <row r="22" spans="1:9" ht="58.5">
      <c r="A22" s="1244">
        <f>+A14+1</f>
        <v>3</v>
      </c>
      <c r="B22" s="1245"/>
      <c r="C22" s="1246" t="str">
        <f>"Real Estate and Personal Property Taxes Total
 (Ln "&amp;A23&amp;" + Ln "&amp;A30 &amp;" + Ln "&amp;A37&amp;" + Ln "&amp;A40&amp;")"</f>
        <v>Real Estate and Personal Property Taxes Total
 (Ln 4 + Ln 5 + Ln 6 + Ln 7)</v>
      </c>
      <c r="D22" s="1245"/>
      <c r="E22" s="1062">
        <f>E23+E30+E37+E40</f>
        <v>32427453</v>
      </c>
      <c r="F22" s="128"/>
      <c r="G22" s="70"/>
      <c r="H22" s="122"/>
      <c r="I22" s="1062">
        <f>I23+I30+I37+I40</f>
        <v>32427453</v>
      </c>
    </row>
    <row r="23" spans="1:9" ht="19.5">
      <c r="A23" s="61">
        <f>+A22+1</f>
        <v>4</v>
      </c>
      <c r="B23" s="62"/>
      <c r="C23" s="60" t="s">
        <v>812</v>
      </c>
      <c r="D23" s="60"/>
      <c r="E23" s="128">
        <f>SUM(F24:F29)</f>
        <v>10739870</v>
      </c>
      <c r="F23" s="123"/>
      <c r="G23" s="70"/>
      <c r="I23" s="128">
        <f>SUM(I24:I29)</f>
        <v>10739870</v>
      </c>
    </row>
    <row r="24" spans="1:9" ht="19.5">
      <c r="A24" s="61"/>
      <c r="B24" s="62"/>
      <c r="C24" s="60"/>
      <c r="D24" s="1335">
        <v>2020</v>
      </c>
      <c r="E24" s="128"/>
      <c r="F24" s="642">
        <v>-1296330</v>
      </c>
      <c r="G24" s="1005" t="s">
        <v>968</v>
      </c>
      <c r="H24" s="1336">
        <v>1</v>
      </c>
      <c r="I24" s="1003">
        <f t="shared" ref="I24:I29" si="0">F24*H24</f>
        <v>-1296330</v>
      </c>
    </row>
    <row r="25" spans="1:9" ht="19.5">
      <c r="A25" s="61"/>
      <c r="B25" s="62"/>
      <c r="C25" s="60"/>
      <c r="D25" s="1335">
        <v>2021</v>
      </c>
      <c r="E25" s="128"/>
      <c r="F25" s="642">
        <v>12036200</v>
      </c>
      <c r="G25" s="1005" t="s">
        <v>5</v>
      </c>
      <c r="H25" s="1336">
        <v>1</v>
      </c>
      <c r="I25" s="1003">
        <f t="shared" si="0"/>
        <v>12036200</v>
      </c>
    </row>
    <row r="26" spans="1:9" ht="19.5">
      <c r="A26" s="61"/>
      <c r="B26" s="62"/>
      <c r="C26" s="60"/>
      <c r="D26" s="1335"/>
      <c r="E26" s="128"/>
      <c r="F26" s="642"/>
      <c r="G26" s="1005"/>
      <c r="H26" s="1333"/>
      <c r="I26" s="1003">
        <f t="shared" si="0"/>
        <v>0</v>
      </c>
    </row>
    <row r="27" spans="1:9" ht="19.5">
      <c r="A27" s="61"/>
      <c r="B27" s="62"/>
      <c r="C27" s="60"/>
      <c r="D27" s="1335"/>
      <c r="E27" s="128"/>
      <c r="F27" s="642"/>
      <c r="G27" s="1005"/>
      <c r="H27" s="1333"/>
      <c r="I27" s="1003">
        <f t="shared" si="0"/>
        <v>0</v>
      </c>
    </row>
    <row r="28" spans="1:9" ht="19.5">
      <c r="A28" s="61"/>
      <c r="B28" s="62"/>
      <c r="C28" s="60"/>
      <c r="D28" s="1335"/>
      <c r="E28" s="128"/>
      <c r="F28" s="642"/>
      <c r="G28" s="1005"/>
      <c r="H28" s="1333"/>
      <c r="I28" s="1003">
        <f t="shared" si="0"/>
        <v>0</v>
      </c>
    </row>
    <row r="29" spans="1:9" ht="19.5">
      <c r="A29" s="61"/>
      <c r="B29" s="62"/>
      <c r="C29" s="60"/>
      <c r="D29" s="1335"/>
      <c r="E29" s="128"/>
      <c r="F29" s="642"/>
      <c r="G29" s="1005"/>
      <c r="H29" s="1333"/>
      <c r="I29" s="1003">
        <f t="shared" si="0"/>
        <v>0</v>
      </c>
    </row>
    <row r="30" spans="1:9" ht="19.5">
      <c r="A30" s="61">
        <f>+A23+1</f>
        <v>5</v>
      </c>
      <c r="B30" s="62"/>
      <c r="C30" s="60" t="s">
        <v>813</v>
      </c>
      <c r="D30" s="1335"/>
      <c r="E30" s="128">
        <f>SUM(F31:F36)</f>
        <v>21687583</v>
      </c>
      <c r="F30" s="80"/>
      <c r="G30" s="70"/>
      <c r="H30" s="1334"/>
      <c r="I30" s="1003">
        <f>SUM(I31:I36)</f>
        <v>21687583</v>
      </c>
    </row>
    <row r="31" spans="1:9" ht="19.5">
      <c r="A31" s="61"/>
      <c r="B31" s="62"/>
      <c r="C31" s="60"/>
      <c r="D31" s="1335">
        <v>2022</v>
      </c>
      <c r="E31" s="128"/>
      <c r="F31" s="1058">
        <v>20254354</v>
      </c>
      <c r="G31" s="1005" t="s">
        <v>974</v>
      </c>
      <c r="H31" s="1336">
        <v>1</v>
      </c>
      <c r="I31" s="1003">
        <f t="shared" ref="I31:I36" si="1">F31*H31</f>
        <v>20254354</v>
      </c>
    </row>
    <row r="32" spans="1:9" ht="19.5">
      <c r="A32" s="61"/>
      <c r="B32" s="62"/>
      <c r="C32" s="60"/>
      <c r="D32" s="1335">
        <v>2021</v>
      </c>
      <c r="E32" s="128"/>
      <c r="F32" s="1058">
        <v>1433229</v>
      </c>
      <c r="G32" s="1005" t="s">
        <v>973</v>
      </c>
      <c r="H32" s="1336">
        <v>1</v>
      </c>
      <c r="I32" s="1003">
        <f t="shared" si="1"/>
        <v>1433229</v>
      </c>
    </row>
    <row r="33" spans="1:9" ht="19.5">
      <c r="A33" s="61"/>
      <c r="B33" s="62"/>
      <c r="C33" s="60"/>
      <c r="D33" s="1335"/>
      <c r="E33" s="128"/>
      <c r="F33" s="1058"/>
      <c r="G33" s="1005"/>
      <c r="H33" s="1336"/>
      <c r="I33" s="1003">
        <f t="shared" si="1"/>
        <v>0</v>
      </c>
    </row>
    <row r="34" spans="1:9" ht="19.5">
      <c r="A34" s="61"/>
      <c r="B34" s="62"/>
      <c r="C34" s="60"/>
      <c r="D34" s="60"/>
      <c r="E34" s="128"/>
      <c r="F34" s="1058"/>
      <c r="G34" s="1005"/>
      <c r="H34" s="1058"/>
      <c r="I34" s="1003">
        <f t="shared" si="1"/>
        <v>0</v>
      </c>
    </row>
    <row r="35" spans="1:9" ht="19.5">
      <c r="A35" s="61"/>
      <c r="B35" s="62"/>
      <c r="C35" s="60"/>
      <c r="D35" s="60"/>
      <c r="E35" s="128"/>
      <c r="F35" s="1058"/>
      <c r="G35" s="1005"/>
      <c r="H35" s="1058"/>
      <c r="I35" s="1003">
        <f t="shared" si="1"/>
        <v>0</v>
      </c>
    </row>
    <row r="36" spans="1:9" ht="19.5">
      <c r="A36" s="61"/>
      <c r="B36" s="62"/>
      <c r="C36" s="60"/>
      <c r="D36" s="60"/>
      <c r="E36" s="128"/>
      <c r="F36" s="1058"/>
      <c r="G36" s="1005"/>
      <c r="H36" s="1058"/>
      <c r="I36" s="1003">
        <f t="shared" si="1"/>
        <v>0</v>
      </c>
    </row>
    <row r="37" spans="1:9" ht="19.5">
      <c r="A37" s="61">
        <f>+A30+1</f>
        <v>6</v>
      </c>
      <c r="B37" s="62"/>
      <c r="C37" s="60" t="s">
        <v>619</v>
      </c>
      <c r="D37" s="60"/>
      <c r="E37" s="128">
        <f>+F38+F39</f>
        <v>0</v>
      </c>
      <c r="F37" s="70"/>
      <c r="I37" s="1057">
        <f>SUM(I38:I39)</f>
        <v>0</v>
      </c>
    </row>
    <row r="38" spans="1:9" ht="19.5">
      <c r="A38" s="61"/>
      <c r="B38" s="62"/>
      <c r="C38" s="60"/>
      <c r="D38" s="60"/>
      <c r="E38" s="128"/>
      <c r="F38" s="1058"/>
      <c r="G38" s="1005"/>
      <c r="H38" s="1004"/>
      <c r="I38" s="1003">
        <f>F38*H38</f>
        <v>0</v>
      </c>
    </row>
    <row r="39" spans="1:9" ht="19.5">
      <c r="A39" s="61"/>
      <c r="B39" s="62"/>
      <c r="C39" s="60"/>
      <c r="D39" s="60"/>
      <c r="E39" s="128"/>
      <c r="F39" s="1058"/>
      <c r="G39" s="1005"/>
      <c r="H39" s="1058"/>
      <c r="I39" s="1003">
        <f>F39*H39</f>
        <v>0</v>
      </c>
    </row>
    <row r="40" spans="1:9" ht="19.5">
      <c r="A40" s="61">
        <f>+A37+1</f>
        <v>7</v>
      </c>
      <c r="B40" s="62"/>
      <c r="C40" s="60" t="s">
        <v>253</v>
      </c>
      <c r="D40" s="105"/>
      <c r="E40" s="128">
        <f>+F41</f>
        <v>0</v>
      </c>
      <c r="F40" s="125"/>
      <c r="I40" s="1057">
        <f>SUM(I41)</f>
        <v>0</v>
      </c>
    </row>
    <row r="41" spans="1:9" ht="19.5">
      <c r="A41" s="61"/>
      <c r="B41" s="62"/>
      <c r="C41" s="60"/>
      <c r="D41" s="105"/>
      <c r="E41" s="128"/>
      <c r="F41" s="1058"/>
      <c r="G41" s="1005"/>
      <c r="H41" s="1058"/>
      <c r="I41" s="1003">
        <f>F41*H41</f>
        <v>0</v>
      </c>
    </row>
    <row r="42" spans="1:9" ht="19.5">
      <c r="A42" s="1059"/>
      <c r="B42" s="1060"/>
      <c r="C42" s="1061"/>
      <c r="D42" s="1002"/>
      <c r="E42" s="1062"/>
      <c r="F42" s="1001"/>
      <c r="G42" s="1000"/>
      <c r="H42" s="1000"/>
      <c r="I42" s="1000"/>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270</v>
      </c>
      <c r="D47" s="120"/>
      <c r="E47" s="100" t="s">
        <v>483</v>
      </c>
      <c r="F47" s="99" t="s">
        <v>3</v>
      </c>
      <c r="G47" s="100" t="s">
        <v>4</v>
      </c>
    </row>
    <row r="48" spans="1:9" ht="19.5">
      <c r="A48" s="61"/>
      <c r="B48" s="62"/>
      <c r="C48" s="65"/>
      <c r="D48" s="62"/>
      <c r="E48" s="129"/>
    </row>
    <row r="49" spans="1:7" ht="19.5">
      <c r="A49" s="61">
        <f>+A40+1</f>
        <v>8</v>
      </c>
      <c r="B49" s="62"/>
      <c r="C49" s="64" t="s">
        <v>130</v>
      </c>
      <c r="D49" s="62"/>
      <c r="E49" s="129"/>
      <c r="F49" s="126"/>
      <c r="G49" s="70"/>
    </row>
    <row r="50" spans="1:7" ht="19.5">
      <c r="A50" s="61">
        <f>+A49+1</f>
        <v>9</v>
      </c>
      <c r="B50" s="62"/>
      <c r="C50" s="60" t="s">
        <v>126</v>
      </c>
      <c r="D50" s="62"/>
      <c r="E50" s="128">
        <f>+F51</f>
        <v>0</v>
      </c>
      <c r="F50" s="70"/>
      <c r="G50" s="70"/>
    </row>
    <row r="51" spans="1:7" ht="19.5">
      <c r="A51" s="61"/>
      <c r="B51" s="62"/>
      <c r="C51" s="60"/>
      <c r="D51" s="62"/>
      <c r="E51" s="128"/>
      <c r="F51" s="642"/>
      <c r="G51" s="124"/>
    </row>
    <row r="52" spans="1:7" ht="19.5">
      <c r="A52" s="61">
        <f>+A50+1</f>
        <v>10</v>
      </c>
      <c r="B52" s="62"/>
      <c r="C52" s="60" t="s">
        <v>119</v>
      </c>
      <c r="D52" s="62"/>
      <c r="E52" s="128">
        <f>+F53</f>
        <v>0</v>
      </c>
      <c r="F52" s="70"/>
      <c r="G52" s="70"/>
    </row>
    <row r="53" spans="1:7" ht="19.5">
      <c r="A53" s="61"/>
      <c r="B53" s="62"/>
      <c r="C53" s="60"/>
      <c r="D53" s="62"/>
      <c r="E53" s="128"/>
      <c r="F53" s="642"/>
      <c r="G53" s="124"/>
    </row>
    <row r="54" spans="1:7" ht="19.5">
      <c r="A54" s="61">
        <f>+A52+1</f>
        <v>11</v>
      </c>
      <c r="B54" s="62"/>
      <c r="C54" s="60" t="s">
        <v>120</v>
      </c>
      <c r="D54" s="62"/>
      <c r="E54" s="128">
        <f>+F55+F56+F57</f>
        <v>0</v>
      </c>
      <c r="F54" s="70"/>
      <c r="G54" s="70"/>
    </row>
    <row r="55" spans="1:7" ht="19.5">
      <c r="A55" s="61" t="s">
        <v>416</v>
      </c>
      <c r="B55" s="62"/>
      <c r="C55" s="57"/>
      <c r="D55" s="62"/>
      <c r="E55" s="129"/>
      <c r="F55" s="642"/>
      <c r="G55" s="124"/>
    </row>
    <row r="56" spans="1:7" ht="19.5">
      <c r="A56" s="61"/>
      <c r="B56" s="62"/>
      <c r="C56" s="57"/>
      <c r="D56" s="62"/>
      <c r="E56" s="129"/>
      <c r="F56" s="642"/>
      <c r="G56" s="124"/>
    </row>
    <row r="57" spans="1:7" ht="19.5">
      <c r="A57" s="61"/>
      <c r="B57" s="62"/>
      <c r="C57" s="57"/>
      <c r="D57" s="62"/>
      <c r="E57" s="129"/>
      <c r="F57" s="642"/>
      <c r="G57" s="124"/>
    </row>
    <row r="58" spans="1:7" ht="19.5">
      <c r="A58" s="61">
        <f>A54+1</f>
        <v>12</v>
      </c>
      <c r="B58" s="62"/>
      <c r="C58" s="135" t="s">
        <v>325</v>
      </c>
      <c r="D58" s="62"/>
      <c r="E58" s="134"/>
      <c r="F58" s="70"/>
      <c r="G58" s="70"/>
    </row>
    <row r="59" spans="1:7" ht="19.5">
      <c r="A59" s="61">
        <f>A58+1</f>
        <v>13</v>
      </c>
      <c r="B59" s="62"/>
      <c r="C59" s="70" t="s">
        <v>224</v>
      </c>
      <c r="D59" s="105"/>
      <c r="E59" s="128">
        <f>+F60</f>
        <v>0</v>
      </c>
      <c r="G59" s="70"/>
    </row>
    <row r="60" spans="1:7" ht="19.5">
      <c r="A60" s="61"/>
      <c r="B60" s="62"/>
      <c r="C60" s="57"/>
      <c r="D60" s="62"/>
      <c r="E60" s="129"/>
      <c r="F60" s="642"/>
      <c r="G60" s="70"/>
    </row>
    <row r="61" spans="1:7" ht="19.5">
      <c r="A61" s="67">
        <f>A59+1</f>
        <v>14</v>
      </c>
      <c r="B61" s="68"/>
      <c r="C61" s="64" t="s">
        <v>127</v>
      </c>
      <c r="D61" s="69"/>
      <c r="E61" s="129"/>
      <c r="F61" s="123"/>
      <c r="G61" s="70"/>
    </row>
    <row r="62" spans="1:7" ht="19.5">
      <c r="A62" s="67">
        <f>A61+1</f>
        <v>15</v>
      </c>
      <c r="B62" s="68"/>
      <c r="C62" s="57" t="s">
        <v>223</v>
      </c>
      <c r="D62" s="69"/>
      <c r="E62" s="128">
        <f>+F63+F64</f>
        <v>0</v>
      </c>
      <c r="F62" s="70"/>
      <c r="G62" s="70"/>
    </row>
    <row r="63" spans="1:7" ht="19.5">
      <c r="A63" s="67"/>
      <c r="B63" s="68"/>
      <c r="C63" s="57"/>
      <c r="D63" s="69"/>
      <c r="E63" s="128"/>
      <c r="F63" s="642"/>
      <c r="G63" s="124"/>
    </row>
    <row r="64" spans="1:7" ht="19.5">
      <c r="A64" s="67"/>
      <c r="B64" s="68"/>
      <c r="C64" s="57"/>
      <c r="D64" s="69"/>
      <c r="E64" s="128"/>
      <c r="F64" s="642"/>
      <c r="G64" s="124"/>
    </row>
    <row r="65" spans="1:7" ht="19.5">
      <c r="A65" s="61">
        <f>A62+1</f>
        <v>16</v>
      </c>
      <c r="B65" s="62"/>
      <c r="C65" s="57" t="s">
        <v>121</v>
      </c>
      <c r="D65" s="62"/>
      <c r="E65" s="80">
        <f>+F66+F67+F68</f>
        <v>0</v>
      </c>
      <c r="F65" s="70"/>
      <c r="G65" s="70"/>
    </row>
    <row r="66" spans="1:7" ht="19.5">
      <c r="A66" s="61"/>
      <c r="B66" s="62"/>
      <c r="C66" s="57"/>
      <c r="D66" s="62"/>
      <c r="E66" s="80"/>
      <c r="F66" s="642"/>
      <c r="G66" s="124"/>
    </row>
    <row r="67" spans="1:7" ht="19.5">
      <c r="A67" s="61"/>
      <c r="B67" s="62"/>
      <c r="C67" s="57"/>
      <c r="D67" s="62"/>
      <c r="E67" s="80"/>
      <c r="F67" s="642"/>
      <c r="G67" s="124"/>
    </row>
    <row r="68" spans="1:7" ht="19.5">
      <c r="A68" s="61"/>
      <c r="B68" s="62"/>
      <c r="C68" s="57"/>
      <c r="D68" s="62"/>
      <c r="E68" s="80"/>
      <c r="F68" s="642"/>
      <c r="G68" s="124"/>
    </row>
    <row r="69" spans="1:7" ht="19.5">
      <c r="A69" s="61">
        <f>+A65+1</f>
        <v>17</v>
      </c>
      <c r="B69" s="62"/>
      <c r="C69" s="57" t="s">
        <v>122</v>
      </c>
      <c r="D69"/>
      <c r="E69" s="80">
        <f>SUM(F70:F80)</f>
        <v>0</v>
      </c>
      <c r="F69" s="70"/>
      <c r="G69" s="70"/>
    </row>
    <row r="70" spans="1:7" ht="19.5">
      <c r="A70" s="61"/>
      <c r="B70" s="62"/>
      <c r="C70" s="57"/>
      <c r="D70"/>
      <c r="E70" s="80"/>
      <c r="F70" s="642"/>
      <c r="G70" s="124"/>
    </row>
    <row r="71" spans="1:7" ht="19.5">
      <c r="A71" s="61"/>
      <c r="B71" s="62"/>
      <c r="C71" s="57"/>
      <c r="D71"/>
      <c r="E71" s="80"/>
      <c r="F71" s="642"/>
      <c r="G71" s="124"/>
    </row>
    <row r="72" spans="1:7" ht="19.5">
      <c r="A72" s="61"/>
      <c r="B72" s="62"/>
      <c r="C72" s="57"/>
      <c r="D72"/>
      <c r="E72" s="80"/>
      <c r="F72" s="642"/>
      <c r="G72" s="124"/>
    </row>
    <row r="73" spans="1:7" ht="19.5">
      <c r="A73" s="61"/>
      <c r="B73" s="62"/>
      <c r="C73" s="57"/>
      <c r="D73"/>
      <c r="E73" s="80"/>
      <c r="F73" s="642"/>
      <c r="G73" s="124"/>
    </row>
    <row r="74" spans="1:7" ht="19.5">
      <c r="A74" s="61"/>
      <c r="B74" s="62"/>
      <c r="C74" s="57"/>
      <c r="D74"/>
      <c r="E74" s="80"/>
      <c r="F74" s="642"/>
      <c r="G74" s="124"/>
    </row>
    <row r="75" spans="1:7" ht="19.5">
      <c r="A75" s="61"/>
      <c r="B75" s="62"/>
      <c r="C75" s="57"/>
      <c r="D75"/>
      <c r="E75" s="80"/>
      <c r="F75" s="642"/>
      <c r="G75" s="124"/>
    </row>
    <row r="76" spans="1:7" ht="19.5">
      <c r="A76" s="61"/>
      <c r="B76" s="62"/>
      <c r="C76" s="57"/>
      <c r="D76"/>
      <c r="E76" s="80"/>
      <c r="F76" s="642"/>
      <c r="G76" s="124"/>
    </row>
    <row r="77" spans="1:7" ht="19.5">
      <c r="A77" s="61"/>
      <c r="B77" s="62"/>
      <c r="C77" s="57"/>
      <c r="D77"/>
      <c r="E77" s="80"/>
      <c r="F77" s="642"/>
      <c r="G77" s="124"/>
    </row>
    <row r="78" spans="1:7" ht="19.5">
      <c r="A78" s="61"/>
      <c r="B78" s="62"/>
      <c r="C78" s="57"/>
      <c r="D78"/>
      <c r="E78" s="80"/>
      <c r="F78" s="642"/>
      <c r="G78" s="124"/>
    </row>
    <row r="79" spans="1:7" ht="19.5">
      <c r="A79" s="61"/>
      <c r="B79" s="62"/>
      <c r="C79" s="57"/>
      <c r="D79"/>
      <c r="E79" s="80"/>
      <c r="F79" s="642"/>
      <c r="G79" s="124"/>
    </row>
    <row r="80" spans="1:7" ht="19.5">
      <c r="A80" s="61"/>
      <c r="B80" s="62"/>
      <c r="C80" s="57"/>
      <c r="D80"/>
      <c r="E80" s="80"/>
      <c r="F80" s="642"/>
      <c r="G80" s="124"/>
    </row>
    <row r="81" spans="1:7" ht="19.5">
      <c r="A81" s="61">
        <f>+A69+1</f>
        <v>18</v>
      </c>
      <c r="B81" s="62"/>
      <c r="C81" s="57" t="s">
        <v>123</v>
      </c>
      <c r="D81"/>
      <c r="E81" s="80">
        <f>SUM(F82:F85)</f>
        <v>0</v>
      </c>
      <c r="F81" s="70"/>
      <c r="G81" s="70"/>
    </row>
    <row r="82" spans="1:7" ht="19.5">
      <c r="A82" s="61"/>
      <c r="B82" s="62"/>
      <c r="C82" s="57"/>
      <c r="D82"/>
      <c r="E82" s="80"/>
      <c r="F82" s="642">
        <v>0</v>
      </c>
      <c r="G82" s="124"/>
    </row>
    <row r="83" spans="1:7" ht="19.5">
      <c r="A83" s="61"/>
      <c r="B83" s="62"/>
      <c r="C83" s="57"/>
      <c r="D83"/>
      <c r="E83" s="80"/>
      <c r="F83" s="642"/>
      <c r="G83" s="124"/>
    </row>
    <row r="84" spans="1:7" ht="19.5">
      <c r="A84" s="61"/>
      <c r="B84" s="62"/>
      <c r="C84" s="57"/>
      <c r="D84"/>
      <c r="E84" s="80"/>
      <c r="F84" s="642"/>
      <c r="G84" s="124"/>
    </row>
    <row r="85" spans="1:7" ht="19.5">
      <c r="A85" s="61"/>
      <c r="B85" s="62"/>
      <c r="C85" s="57"/>
      <c r="D85"/>
      <c r="E85" s="80"/>
      <c r="F85" s="642"/>
      <c r="G85" s="124"/>
    </row>
    <row r="86" spans="1:7" ht="19.5">
      <c r="A86" s="61">
        <f>+A81+1</f>
        <v>19</v>
      </c>
      <c r="B86" s="62"/>
      <c r="C86" s="57" t="s">
        <v>124</v>
      </c>
      <c r="D86" s="62"/>
      <c r="E86" s="80">
        <f>F88+F87</f>
        <v>0</v>
      </c>
      <c r="F86" s="70"/>
      <c r="G86" s="70"/>
    </row>
    <row r="87" spans="1:7" ht="19.5">
      <c r="A87" s="61"/>
      <c r="B87" s="62"/>
      <c r="C87" s="57"/>
      <c r="D87" s="1469"/>
      <c r="E87" s="80"/>
      <c r="F87" s="1058"/>
      <c r="G87" s="124"/>
    </row>
    <row r="88" spans="1:7" ht="19.5">
      <c r="A88" s="61"/>
      <c r="B88" s="62"/>
      <c r="C88" s="57"/>
      <c r="D88" s="1469"/>
      <c r="E88" s="80"/>
      <c r="F88" s="642"/>
      <c r="G88" s="124"/>
    </row>
    <row r="89" spans="1:7" ht="19.5">
      <c r="A89" s="61"/>
      <c r="B89" s="62"/>
      <c r="C89" s="57"/>
      <c r="D89" s="62"/>
      <c r="E89" s="80"/>
      <c r="F89" s="152"/>
      <c r="G89" s="70"/>
    </row>
    <row r="90" spans="1:7" ht="19.5">
      <c r="A90" s="61">
        <f>+A86+1</f>
        <v>20</v>
      </c>
      <c r="B90" s="62"/>
      <c r="C90" s="57" t="s">
        <v>125</v>
      </c>
      <c r="D90" s="62"/>
      <c r="E90" s="80">
        <f>SUM(F91:F95)</f>
        <v>6</v>
      </c>
      <c r="F90" s="70"/>
      <c r="G90" s="124" t="s">
        <v>416</v>
      </c>
    </row>
    <row r="91" spans="1:7" ht="19.5">
      <c r="A91" s="61"/>
      <c r="B91" s="62"/>
      <c r="C91" s="57"/>
      <c r="D91" s="62"/>
      <c r="E91" s="80"/>
      <c r="F91" s="642">
        <v>6</v>
      </c>
      <c r="G91" s="124" t="s">
        <v>975</v>
      </c>
    </row>
    <row r="92" spans="1:7" ht="19.5">
      <c r="A92" s="61"/>
      <c r="B92" s="62"/>
      <c r="C92" s="57"/>
      <c r="D92" s="62"/>
      <c r="E92" s="80"/>
      <c r="F92" s="642"/>
      <c r="G92" s="124"/>
    </row>
    <row r="93" spans="1:7" ht="19.5">
      <c r="A93" s="61"/>
      <c r="B93" s="62"/>
      <c r="C93" s="57"/>
      <c r="D93" s="62"/>
      <c r="E93" s="80"/>
      <c r="F93" s="642"/>
      <c r="G93" s="124"/>
    </row>
    <row r="94" spans="1:7" ht="19.5">
      <c r="A94" s="61"/>
      <c r="B94" s="62"/>
      <c r="C94" s="57"/>
      <c r="D94" s="62"/>
      <c r="E94" s="80"/>
      <c r="F94" s="642"/>
      <c r="G94" s="124"/>
    </row>
    <row r="95" spans="1:7" ht="19.5">
      <c r="A95" s="61"/>
      <c r="B95" s="62"/>
      <c r="C95" s="57"/>
      <c r="D95" s="62"/>
      <c r="E95" s="80"/>
      <c r="F95" s="642"/>
      <c r="G95" s="124"/>
    </row>
    <row r="96" spans="1:7" ht="19.5">
      <c r="A96" s="61">
        <f>+A90+1</f>
        <v>21</v>
      </c>
      <c r="B96" s="57"/>
      <c r="C96" s="57" t="s">
        <v>114</v>
      </c>
      <c r="D96" s="57"/>
      <c r="E96" s="80">
        <f>SUM(F97:F98)</f>
        <v>0</v>
      </c>
      <c r="F96" s="127"/>
      <c r="G96" s="124"/>
    </row>
    <row r="97" spans="1:8" ht="19.5">
      <c r="A97" s="61"/>
      <c r="B97" s="57"/>
      <c r="C97" s="57"/>
      <c r="D97" s="57"/>
      <c r="E97" s="122"/>
      <c r="F97" s="642"/>
      <c r="G97" s="124"/>
    </row>
    <row r="98" spans="1:8" ht="19.5">
      <c r="A98" s="61"/>
      <c r="B98" s="57"/>
      <c r="C98" s="57"/>
      <c r="D98" s="57"/>
      <c r="E98" s="122"/>
      <c r="F98" s="642"/>
      <c r="G98" s="124"/>
    </row>
    <row r="99" spans="1:8" ht="19.5">
      <c r="A99" s="61">
        <f>+A96+1</f>
        <v>22</v>
      </c>
      <c r="B99" s="57"/>
      <c r="C99" s="74" t="s">
        <v>408</v>
      </c>
      <c r="D99" s="70"/>
      <c r="E99" s="128">
        <f>+F100</f>
        <v>0</v>
      </c>
      <c r="G99" s="70"/>
    </row>
    <row r="100" spans="1:8" ht="19.5">
      <c r="A100" s="61"/>
      <c r="B100" s="57"/>
      <c r="C100" s="74"/>
      <c r="D100" s="70"/>
      <c r="E100" s="129"/>
      <c r="F100" s="642"/>
      <c r="G100" s="70"/>
    </row>
    <row r="101" spans="1:8" ht="19.5">
      <c r="A101" s="4"/>
      <c r="B101" s="115"/>
      <c r="C101" s="115"/>
      <c r="D101"/>
      <c r="E101"/>
      <c r="F101" s="127"/>
      <c r="G101" s="70"/>
    </row>
    <row r="102" spans="1:8" ht="20.25" thickBot="1">
      <c r="A102" s="112">
        <f>+A99+1</f>
        <v>23</v>
      </c>
      <c r="B102" s="115"/>
      <c r="C102" s="57" t="s">
        <v>118</v>
      </c>
      <c r="D102"/>
      <c r="E102" s="73">
        <f>E22+E14+E90+E81</f>
        <v>32427466</v>
      </c>
      <c r="F102" s="73">
        <f>SUM(F14:F100)</f>
        <v>32427466</v>
      </c>
      <c r="G102" s="70"/>
    </row>
    <row r="103" spans="1:8" ht="20.25" thickTop="1">
      <c r="A103" s="4"/>
      <c r="B103" s="115"/>
      <c r="C103" s="57" t="s">
        <v>183</v>
      </c>
      <c r="D103"/>
      <c r="E103"/>
      <c r="F103" s="70"/>
      <c r="G103" s="70"/>
      <c r="H103" s="1057"/>
    </row>
    <row r="104" spans="1:8" ht="19.5">
      <c r="A104" s="4"/>
      <c r="B104" s="115"/>
      <c r="C104" s="57"/>
      <c r="D104"/>
      <c r="E104"/>
      <c r="F104" s="80" t="s">
        <v>416</v>
      </c>
      <c r="G104" s="70"/>
    </row>
    <row r="105" spans="1:8" ht="21.75" customHeight="1">
      <c r="A105" s="1547" t="s">
        <v>772</v>
      </c>
      <c r="B105" s="1547"/>
      <c r="C105" s="1547"/>
      <c r="D105" s="1547"/>
      <c r="E105" s="1547"/>
      <c r="F105" s="1547"/>
      <c r="G105" s="1547"/>
    </row>
    <row r="106" spans="1:8" ht="21.75" customHeight="1">
      <c r="A106" s="1547"/>
      <c r="B106" s="1547"/>
      <c r="C106" s="1547"/>
      <c r="D106" s="1547"/>
      <c r="E106" s="1547"/>
      <c r="F106" s="1547"/>
      <c r="G106" s="1547"/>
    </row>
    <row r="107" spans="1:8" ht="21.75" customHeight="1">
      <c r="A107" s="1547"/>
      <c r="B107" s="1547"/>
      <c r="C107" s="1547"/>
      <c r="D107" s="1547"/>
      <c r="E107" s="1547"/>
      <c r="F107" s="1547"/>
      <c r="G107" s="1547"/>
    </row>
    <row r="108" spans="1:8" ht="21.75" customHeight="1">
      <c r="A108" s="1547"/>
      <c r="B108" s="1547"/>
      <c r="C108" s="1547"/>
      <c r="D108" s="1547"/>
      <c r="E108" s="1547"/>
      <c r="F108" s="1547"/>
      <c r="G108" s="1547"/>
    </row>
    <row r="109" spans="1:8" ht="21.75" customHeight="1">
      <c r="A109" s="1547"/>
      <c r="B109" s="1547"/>
      <c r="C109" s="1547"/>
      <c r="D109" s="1547"/>
      <c r="E109" s="1547"/>
      <c r="F109" s="1547"/>
      <c r="G109" s="1547"/>
    </row>
    <row r="110" spans="1:8" ht="19.5">
      <c r="A110" s="1254"/>
      <c r="B110" s="79"/>
      <c r="C110" s="79"/>
      <c r="D110" s="79"/>
      <c r="E110" s="1255"/>
      <c r="F110" s="70"/>
      <c r="G110" s="70"/>
    </row>
    <row r="111" spans="1:8" ht="30" customHeight="1">
      <c r="A111" s="1545" t="s">
        <v>700</v>
      </c>
      <c r="B111" s="1545"/>
      <c r="C111" s="1545"/>
      <c r="D111" s="1545"/>
      <c r="E111" s="1545"/>
      <c r="F111" s="1545"/>
      <c r="G111" s="1545"/>
    </row>
    <row r="112" spans="1:8" ht="30" customHeight="1">
      <c r="A112" s="1545"/>
      <c r="B112" s="1545"/>
      <c r="C112" s="1545"/>
      <c r="D112" s="1545"/>
      <c r="E112" s="1545"/>
      <c r="F112" s="1545"/>
      <c r="G112" s="1545"/>
    </row>
    <row r="113" spans="2:7" ht="19.5">
      <c r="B113" s="79"/>
      <c r="F113" s="127"/>
      <c r="G113" s="70"/>
    </row>
    <row r="114" spans="2:7" ht="19.5">
      <c r="B114" s="79"/>
      <c r="F114" s="127"/>
      <c r="G114" s="70"/>
    </row>
    <row r="115" spans="2:7" ht="19.5">
      <c r="B115" s="79"/>
      <c r="F115" s="70"/>
      <c r="G115" s="122"/>
    </row>
    <row r="116" spans="2:7" ht="19.5">
      <c r="B116" s="79"/>
      <c r="F116" s="70"/>
      <c r="G116" s="122"/>
    </row>
    <row r="117" spans="2:7" ht="19.5">
      <c r="B117" s="79"/>
      <c r="F117" s="70"/>
      <c r="G117" s="122"/>
    </row>
    <row r="118" spans="2:7" ht="19.5">
      <c r="B118" s="79"/>
      <c r="F118" s="70"/>
      <c r="G118" s="122"/>
    </row>
    <row r="119" spans="2:7">
      <c r="B119" s="79"/>
    </row>
    <row r="120" spans="2:7">
      <c r="B120" s="79"/>
    </row>
    <row r="121" spans="2:7">
      <c r="B121" s="79"/>
    </row>
    <row r="122" spans="2:7">
      <c r="B122" s="79"/>
    </row>
    <row r="123" spans="2:7">
      <c r="B123" s="79"/>
    </row>
    <row r="124" spans="2:7">
      <c r="B124" s="79"/>
    </row>
  </sheetData>
  <mergeCells count="7">
    <mergeCell ref="A111:G112"/>
    <mergeCell ref="H4:M4"/>
    <mergeCell ref="A105:G109"/>
    <mergeCell ref="A3:G3"/>
    <mergeCell ref="A4:G4"/>
    <mergeCell ref="A5:G5"/>
    <mergeCell ref="A6:G6"/>
  </mergeCells>
  <phoneticPr fontId="71"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95" t="s">
        <v>416</v>
      </c>
    </row>
    <row r="2" spans="1:13" ht="15.75">
      <c r="A2" s="995" t="s">
        <v>416</v>
      </c>
    </row>
    <row r="3" spans="1:13" ht="18">
      <c r="A3" s="1551" t="str">
        <f>TCOS!$F$5</f>
        <v>AEPTCo subsidiaries in PJM</v>
      </c>
      <c r="B3" s="1551" t="str">
        <f>TCOS!$F$5</f>
        <v>AEPTCo subsidiaries in PJM</v>
      </c>
      <c r="C3" s="1551" t="str">
        <f>TCOS!$F$5</f>
        <v>AEPTCo subsidiaries in PJM</v>
      </c>
      <c r="D3" s="1551" t="str">
        <f>TCOS!$F$5</f>
        <v>AEPTCo subsidiaries in PJM</v>
      </c>
      <c r="E3" s="1551" t="str">
        <f>TCOS!$F$5</f>
        <v>AEPTCo subsidiaries in PJM</v>
      </c>
      <c r="F3" s="1551" t="str">
        <f>TCOS!$F$5</f>
        <v>AEPTCo subsidiaries in PJM</v>
      </c>
      <c r="G3" s="1551" t="str">
        <f>TCOS!$F$5</f>
        <v>AEPTCo subsidiaries in PJM</v>
      </c>
      <c r="H3" s="1551" t="str">
        <f>TCOS!$F$5</f>
        <v>AEPTCo subsidiaries in PJM</v>
      </c>
      <c r="I3" s="1551" t="str">
        <f>TCOS!$F$5</f>
        <v>AEPTCo subsidiaries in PJM</v>
      </c>
      <c r="J3" s="1551" t="str">
        <f>TCOS!$F$5</f>
        <v>AEPTCo subsidiaries in PJM</v>
      </c>
      <c r="K3" s="77"/>
      <c r="L3" s="77"/>
      <c r="M3" s="77"/>
    </row>
    <row r="4" spans="1:13" ht="18">
      <c r="A4" s="1550" t="str">
        <f>"Cost of Service Formula Rate Using Actual/Projected FF1 Balances"</f>
        <v>Cost of Service Formula Rate Using Actual/Projected FF1 Balances</v>
      </c>
      <c r="B4" s="1550"/>
      <c r="C4" s="1550"/>
      <c r="D4" s="1550"/>
      <c r="E4" s="1550"/>
      <c r="F4" s="1550"/>
      <c r="G4" s="1550"/>
      <c r="H4" s="1550"/>
      <c r="I4" s="1550"/>
      <c r="J4" s="1550"/>
      <c r="K4" s="52"/>
      <c r="L4" s="52"/>
      <c r="M4" s="52"/>
    </row>
    <row r="5" spans="1:13" ht="18">
      <c r="A5" s="1550" t="s">
        <v>597</v>
      </c>
      <c r="B5" s="1550"/>
      <c r="C5" s="1550"/>
      <c r="D5" s="1550"/>
      <c r="E5" s="1550"/>
      <c r="F5" s="1550"/>
      <c r="G5" s="1550"/>
      <c r="H5" s="1550"/>
      <c r="I5" s="1550"/>
      <c r="J5" s="1550"/>
      <c r="K5" s="78"/>
      <c r="L5" s="78"/>
      <c r="M5" s="78"/>
    </row>
    <row r="6" spans="1:13" ht="18">
      <c r="A6" s="1542" t="str">
        <f>+TCOS!F9</f>
        <v>AEP Indiana Michigan Transmission Company</v>
      </c>
      <c r="B6" s="1542"/>
      <c r="C6" s="1542"/>
      <c r="D6" s="1542"/>
      <c r="E6" s="1542"/>
      <c r="F6" s="1542"/>
      <c r="G6" s="1542"/>
      <c r="H6" s="1542"/>
      <c r="I6" s="1542"/>
      <c r="J6" s="1542"/>
      <c r="K6" s="81"/>
      <c r="L6" s="81"/>
      <c r="M6" s="81"/>
    </row>
    <row r="7" spans="1:13">
      <c r="H7" s="82"/>
    </row>
    <row r="8" spans="1:13" ht="15.75">
      <c r="D8" s="150"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975"/>
  <sheetViews>
    <sheetView view="pageBreakPreview" topLeftCell="E10" zoomScale="70" zoomScaleNormal="70" zoomScaleSheetLayoutView="70" workbookViewId="0">
      <selection activeCell="Q82" sqref="Q82"/>
    </sheetView>
  </sheetViews>
  <sheetFormatPr defaultColWidth="8.85546875" defaultRowHeight="12.75"/>
  <cols>
    <col min="1" max="1" width="4.7109375" style="172" customWidth="1"/>
    <col min="2" max="2" width="6.7109375" style="384" customWidth="1"/>
    <col min="3" max="3" width="26.42578125" style="172" customWidth="1"/>
    <col min="4" max="4" width="17.7109375" style="269" customWidth="1"/>
    <col min="5" max="7" width="17.7109375" style="172" customWidth="1"/>
    <col min="8" max="8" width="17.7109375" style="479" customWidth="1"/>
    <col min="9" max="9" width="17.7109375" style="172" bestFit="1" customWidth="1"/>
    <col min="10" max="10" width="2.140625" style="156" customWidth="1"/>
    <col min="11" max="12" width="17.7109375" style="172" customWidth="1"/>
    <col min="13" max="13" width="32.42578125" style="172" customWidth="1"/>
    <col min="14" max="14" width="17.7109375" style="172" customWidth="1"/>
    <col min="15" max="15" width="16.7109375" style="172" customWidth="1"/>
    <col min="16" max="16" width="2.140625" style="172" customWidth="1"/>
    <col min="17" max="16384" width="8.85546875" style="172"/>
  </cols>
  <sheetData>
    <row r="1" spans="1:16" ht="15.75">
      <c r="A1" s="995" t="s">
        <v>416</v>
      </c>
    </row>
    <row r="2" spans="1:16" ht="15.75">
      <c r="A2" s="995" t="s">
        <v>416</v>
      </c>
    </row>
    <row r="3" spans="1:16" ht="15">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c r="I3" s="1497" t="str">
        <f>TCOS!$F$5</f>
        <v>AEPTCo subsidiaries in PJM</v>
      </c>
      <c r="J3" s="1497" t="str">
        <f>TCOS!$F$5</f>
        <v>AEPTCo subsidiaries in PJM</v>
      </c>
      <c r="K3" s="1497" t="str">
        <f>TCOS!$F$5</f>
        <v>AEPTCo subsidiaries in PJM</v>
      </c>
      <c r="L3" s="1497" t="str">
        <f>TCOS!$F$5</f>
        <v>AEPTCo subsidiaries in PJM</v>
      </c>
      <c r="M3" s="1497" t="str">
        <f>TCOS!$F$5</f>
        <v>AEPTCo subsidiaries in PJM</v>
      </c>
      <c r="N3" s="1497" t="str">
        <f>TCOS!$F$5</f>
        <v>AEPTCo subsidiaries in PJM</v>
      </c>
      <c r="O3" s="1497" t="str">
        <f>TCOS!$F$5</f>
        <v>AEPTCo subsidiaries in PJM</v>
      </c>
      <c r="P3" s="156"/>
    </row>
    <row r="4" spans="1:16" ht="15">
      <c r="A4" s="1528" t="str">
        <f>"Cost of Service Formula Rate Using Actual/Projected FF1 Balances"</f>
        <v>Cost of Service Formula Rate Using Actual/Projected FF1 Balances</v>
      </c>
      <c r="B4" s="1528"/>
      <c r="C4" s="1528"/>
      <c r="D4" s="1528"/>
      <c r="E4" s="1528"/>
      <c r="F4" s="1528"/>
      <c r="G4" s="1528"/>
      <c r="H4" s="1528"/>
      <c r="I4" s="1528"/>
      <c r="J4" s="1528"/>
      <c r="K4" s="1528"/>
      <c r="L4" s="1528"/>
      <c r="M4" s="1528"/>
      <c r="N4" s="1528"/>
      <c r="O4" s="1528"/>
      <c r="P4" s="156"/>
    </row>
    <row r="5" spans="1:16" ht="15">
      <c r="A5" s="1528" t="s">
        <v>266</v>
      </c>
      <c r="B5" s="1528"/>
      <c r="C5" s="1528"/>
      <c r="D5" s="1528"/>
      <c r="E5" s="1528"/>
      <c r="F5" s="1528"/>
      <c r="G5" s="1528"/>
      <c r="H5" s="1528"/>
      <c r="I5" s="1528"/>
      <c r="J5" s="1528"/>
      <c r="K5" s="1528"/>
      <c r="L5" s="1528"/>
      <c r="M5" s="1528"/>
      <c r="N5" s="1528"/>
      <c r="O5" s="1528"/>
      <c r="P5" s="156"/>
    </row>
    <row r="6" spans="1:16" ht="15">
      <c r="A6" s="1529" t="str">
        <f>TCOS!F9</f>
        <v>AEP Indiana Michigan Transmission Company</v>
      </c>
      <c r="B6" s="1529"/>
      <c r="C6" s="1529"/>
      <c r="D6" s="1529"/>
      <c r="E6" s="1529"/>
      <c r="F6" s="1529"/>
      <c r="G6" s="1529"/>
      <c r="H6" s="1529"/>
      <c r="I6" s="1529"/>
      <c r="J6" s="1529"/>
      <c r="K6" s="1529"/>
      <c r="L6" s="1529"/>
      <c r="M6" s="1529"/>
      <c r="N6" s="1529"/>
      <c r="O6" s="1529"/>
      <c r="P6" s="156"/>
    </row>
    <row r="7" spans="1:16">
      <c r="P7" s="156"/>
    </row>
    <row r="8" spans="1:16" ht="20.25">
      <c r="A8" s="643"/>
      <c r="C8" s="384"/>
      <c r="N8" s="644" t="str">
        <f>"Page "&amp;P8&amp;" of "</f>
        <v xml:space="preserve">Page 1 of </v>
      </c>
      <c r="O8" s="645">
        <f>COUNT(P$8:P$56656)</f>
        <v>11</v>
      </c>
      <c r="P8" s="646">
        <v>1</v>
      </c>
    </row>
    <row r="9" spans="1:16" ht="18">
      <c r="C9" s="647"/>
      <c r="P9" s="156"/>
    </row>
    <row r="10" spans="1:16">
      <c r="P10" s="156"/>
    </row>
    <row r="11" spans="1:16" ht="18">
      <c r="B11" s="648" t="s">
        <v>471</v>
      </c>
      <c r="C11" s="1555" t="str">
        <f>"Calculate Return and Income Taxes with "&amp;F17&amp;" basis point ROE increase for Projects Qualified for Regional Billing."</f>
        <v>Calculate Return and Income Taxes with 0 basis point ROE increase for Projects Qualified for Regional Billing.</v>
      </c>
      <c r="D11" s="1556"/>
      <c r="E11" s="1556"/>
      <c r="F11" s="1556"/>
      <c r="G11" s="1556"/>
      <c r="H11" s="1556"/>
      <c r="P11" s="156"/>
    </row>
    <row r="12" spans="1:16" ht="18.75" customHeight="1">
      <c r="C12" s="1556"/>
      <c r="D12" s="1556"/>
      <c r="E12" s="1556"/>
      <c r="F12" s="1556"/>
      <c r="G12" s="1556"/>
      <c r="H12" s="1556"/>
      <c r="P12" s="156"/>
    </row>
    <row r="13" spans="1:16" ht="15.75" customHeight="1">
      <c r="C13" s="649"/>
      <c r="D13" s="649"/>
      <c r="E13" s="649"/>
      <c r="F13" s="649"/>
      <c r="G13" s="649"/>
      <c r="H13" s="649"/>
      <c r="P13" s="156"/>
    </row>
    <row r="14" spans="1:16" ht="15.75">
      <c r="C14" s="650" t="str">
        <f>"A.   Determine 'R' with hypothetical "&amp;F17&amp;" basis point increase in ROE for Identified Projects"</f>
        <v>A.   Determine 'R' with hypothetical 0 basis point increase in ROE for Identified Projects</v>
      </c>
      <c r="P14" s="156"/>
    </row>
    <row r="15" spans="1:16">
      <c r="P15" s="156"/>
    </row>
    <row r="16" spans="1:16">
      <c r="C16" s="651" t="str">
        <f>"   ROE w/o incentives  (TCOS, ln "&amp;TCOS!B235&amp;")"</f>
        <v xml:space="preserve">   ROE w/o incentives  (TCOS, ln 138)</v>
      </c>
      <c r="E16" s="652"/>
      <c r="F16" s="653">
        <f>TCOS!J235</f>
        <v>0.10349999999999999</v>
      </c>
      <c r="G16" s="652"/>
      <c r="H16" s="654"/>
      <c r="I16" s="654"/>
      <c r="J16" s="655"/>
      <c r="K16" s="654"/>
      <c r="L16" s="654"/>
      <c r="M16" s="654"/>
      <c r="N16" s="654"/>
      <c r="O16" s="654"/>
      <c r="P16" s="655"/>
    </row>
    <row r="17" spans="3:16">
      <c r="C17" s="651" t="s">
        <v>52</v>
      </c>
      <c r="E17" s="652"/>
      <c r="F17" s="796">
        <v>0</v>
      </c>
      <c r="G17" s="656"/>
      <c r="H17" s="654"/>
      <c r="I17" s="654"/>
      <c r="J17" s="655"/>
    </row>
    <row r="18" spans="3:16">
      <c r="C18" s="651" t="str">
        <f>"   ROE with additional "&amp;F17&amp;" basis point incentive"</f>
        <v xml:space="preserve">   ROE with additional 0 basis point incentive</v>
      </c>
      <c r="D18" s="652"/>
      <c r="E18" s="652"/>
      <c r="F18" s="657">
        <f>IF((F16+(F17/10000)&gt;0.1274),"ERROR",F16+(F17/10000))</f>
        <v>0.10349999999999999</v>
      </c>
      <c r="G18" s="658"/>
      <c r="H18" s="654"/>
      <c r="I18" s="654"/>
      <c r="J18" s="655"/>
    </row>
    <row r="19" spans="3:16">
      <c r="C19" s="65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2"/>
      <c r="F19" s="659"/>
      <c r="G19" s="652"/>
      <c r="H19" s="654"/>
      <c r="I19" s="654"/>
      <c r="J19" s="655"/>
    </row>
    <row r="20" spans="3:16">
      <c r="C20" s="655"/>
      <c r="D20" s="660" t="s">
        <v>446</v>
      </c>
      <c r="E20" s="660" t="s">
        <v>445</v>
      </c>
      <c r="F20" s="661" t="s">
        <v>53</v>
      </c>
      <c r="G20" s="652"/>
      <c r="H20" s="654"/>
      <c r="I20" s="654"/>
      <c r="J20" s="655"/>
    </row>
    <row r="21" spans="3:16" ht="13.5" thickBot="1">
      <c r="C21" s="662" t="s">
        <v>58</v>
      </c>
      <c r="D21" s="663">
        <f>TCOS!H233</f>
        <v>0.44322724343395969</v>
      </c>
      <c r="E21" s="664">
        <f>TCOS!J233</f>
        <v>3.8251173500910944E-2</v>
      </c>
      <c r="F21" s="665">
        <f>E21*D21</f>
        <v>1.6953962188922884E-2</v>
      </c>
      <c r="G21" s="652"/>
      <c r="H21" s="654"/>
      <c r="I21" s="666"/>
      <c r="J21" s="667"/>
      <c r="K21" s="431"/>
      <c r="L21" s="431"/>
      <c r="M21" s="431"/>
      <c r="N21" s="431"/>
      <c r="O21" s="431"/>
    </row>
    <row r="22" spans="3:16">
      <c r="C22" s="662" t="s">
        <v>59</v>
      </c>
      <c r="D22" s="663">
        <f>TCOS!H234</f>
        <v>0</v>
      </c>
      <c r="E22" s="664">
        <f>TCOS!J234</f>
        <v>0</v>
      </c>
      <c r="F22" s="665">
        <f>E22*D22</f>
        <v>0</v>
      </c>
      <c r="G22" s="668"/>
      <c r="H22" s="668"/>
      <c r="I22" s="669"/>
      <c r="J22" s="670"/>
      <c r="K22" s="1558" t="s">
        <v>241</v>
      </c>
      <c r="L22" s="1559"/>
      <c r="M22" s="1559"/>
      <c r="N22" s="1559"/>
      <c r="O22" s="1560"/>
      <c r="P22" s="670"/>
    </row>
    <row r="23" spans="3:16">
      <c r="C23" s="671" t="s">
        <v>31</v>
      </c>
      <c r="D23" s="663">
        <f>TCOS!H235</f>
        <v>0.55677275656604019</v>
      </c>
      <c r="E23" s="664">
        <f>+F18</f>
        <v>0.10349999999999999</v>
      </c>
      <c r="F23" s="672">
        <f>E23*D23</f>
        <v>5.7625980304585156E-2</v>
      </c>
      <c r="G23" s="668"/>
      <c r="H23" s="668"/>
      <c r="I23" s="669"/>
      <c r="J23" s="670"/>
      <c r="K23" s="1561"/>
      <c r="L23" s="1562"/>
      <c r="M23" s="1562"/>
      <c r="N23" s="1562"/>
      <c r="O23" s="1563"/>
      <c r="P23" s="670"/>
    </row>
    <row r="24" spans="3:16">
      <c r="C24" s="651"/>
      <c r="D24" s="172"/>
      <c r="E24" s="673" t="s">
        <v>60</v>
      </c>
      <c r="F24" s="665">
        <f>SUM(F21:F23)</f>
        <v>7.4579942493508036E-2</v>
      </c>
      <c r="G24" s="668"/>
      <c r="H24" s="668"/>
      <c r="I24" s="669"/>
      <c r="J24" s="670"/>
      <c r="K24" s="674"/>
      <c r="L24" s="675"/>
      <c r="M24" s="676" t="s">
        <v>54</v>
      </c>
      <c r="N24" s="676" t="s">
        <v>55</v>
      </c>
      <c r="O24" s="677" t="s">
        <v>57</v>
      </c>
      <c r="P24" s="670"/>
    </row>
    <row r="25" spans="3:16">
      <c r="C25" s="308"/>
      <c r="D25" s="678"/>
      <c r="E25" s="678"/>
      <c r="F25" s="668"/>
      <c r="G25" s="668"/>
      <c r="H25" s="668"/>
      <c r="I25" s="668"/>
      <c r="J25" s="679"/>
      <c r="K25" s="680"/>
      <c r="L25" s="681"/>
      <c r="M25" s="681"/>
      <c r="N25" s="681"/>
      <c r="O25" s="682"/>
      <c r="P25" s="679"/>
    </row>
    <row r="26" spans="3:16" ht="16.5" thickBot="1">
      <c r="C26" s="650" t="str">
        <f>"B.   Determine Return using 'R' with hypothetical "&amp;F17&amp;" basis point ROE increase for Identified Projects."</f>
        <v>B.   Determine Return using 'R' with hypothetical 0 basis point ROE increase for Identified Projects.</v>
      </c>
      <c r="D26" s="678"/>
      <c r="E26" s="678"/>
      <c r="F26" s="683"/>
      <c r="G26" s="668"/>
      <c r="H26" s="652"/>
      <c r="I26" s="668"/>
      <c r="J26" s="679"/>
      <c r="K26" s="684" t="s">
        <v>61</v>
      </c>
      <c r="L26" s="685">
        <f>+TCOS!L4</f>
        <v>2022</v>
      </c>
      <c r="M26" s="946">
        <f>N88+N178+N267+N356+N446+N535+N624+N713+N802+N893</f>
        <v>48734966.287220091</v>
      </c>
      <c r="N26" s="946">
        <f>N89+N179+N268+N357+N447+N536+N625+N714+N803+N894</f>
        <v>48734966.287220091</v>
      </c>
      <c r="O26" s="686">
        <f>+N26-M26</f>
        <v>0</v>
      </c>
      <c r="P26" s="679"/>
    </row>
    <row r="27" spans="3:16">
      <c r="C27" s="655"/>
      <c r="D27" s="678"/>
      <c r="E27" s="678"/>
      <c r="F27" s="679"/>
      <c r="G27" s="679"/>
      <c r="H27" s="679"/>
      <c r="I27" s="679"/>
      <c r="J27" s="679"/>
      <c r="K27" s="687"/>
      <c r="L27" s="687"/>
      <c r="M27" s="688"/>
      <c r="N27" s="687"/>
      <c r="O27" s="687"/>
      <c r="P27" s="679"/>
    </row>
    <row r="28" spans="3:16">
      <c r="C28" s="651" t="str">
        <f>"   Rate Base  (TCOS, ln "&amp;TCOS!B112&amp;")"</f>
        <v xml:space="preserve">   Rate Base  (TCOS, ln 58)</v>
      </c>
      <c r="D28" s="652"/>
      <c r="F28" s="689">
        <f>TCOS!L112</f>
        <v>2686230199.1060386</v>
      </c>
      <c r="G28" s="679"/>
      <c r="H28" s="679"/>
      <c r="I28" s="679"/>
      <c r="J28" s="679"/>
      <c r="K28" s="687"/>
      <c r="L28" s="687"/>
      <c r="M28" s="687"/>
      <c r="N28" s="687"/>
      <c r="O28" s="690"/>
      <c r="P28" s="679"/>
    </row>
    <row r="29" spans="3:16">
      <c r="C29" s="655" t="s">
        <v>286</v>
      </c>
      <c r="D29" s="691"/>
      <c r="F29" s="665">
        <f>F24</f>
        <v>7.4579942493508036E-2</v>
      </c>
      <c r="G29" s="679"/>
      <c r="H29" s="679"/>
      <c r="I29" s="679"/>
      <c r="J29" s="679"/>
      <c r="K29" s="679"/>
      <c r="L29" s="679"/>
      <c r="M29" s="679"/>
      <c r="N29" s="679"/>
      <c r="O29" s="679"/>
      <c r="P29" s="679"/>
    </row>
    <row r="30" spans="3:16">
      <c r="C30" s="692" t="s">
        <v>63</v>
      </c>
      <c r="D30" s="692"/>
      <c r="F30" s="669">
        <f>F28*F29</f>
        <v>200338893.773653</v>
      </c>
      <c r="G30" s="679"/>
      <c r="H30" s="679"/>
      <c r="I30" s="670"/>
      <c r="J30" s="670"/>
      <c r="K30" s="670"/>
      <c r="L30" s="670"/>
      <c r="M30" s="670"/>
      <c r="N30" s="670"/>
      <c r="O30" s="679"/>
      <c r="P30" s="670"/>
    </row>
    <row r="31" spans="3:16">
      <c r="C31" s="693"/>
      <c r="D31" s="654"/>
      <c r="E31" s="654"/>
      <c r="F31" s="679"/>
      <c r="G31" s="679"/>
      <c r="H31" s="679"/>
      <c r="I31" s="670"/>
      <c r="J31" s="670"/>
      <c r="K31" s="670"/>
      <c r="L31" s="670"/>
      <c r="M31" s="670"/>
      <c r="N31" s="670"/>
      <c r="O31" s="679"/>
      <c r="P31" s="670"/>
    </row>
    <row r="32" spans="3:16" ht="15.75">
      <c r="C32" s="650" t="str">
        <f>"C.   Determine Income Taxes using Return with hypothetical "&amp;F17&amp;" basis point ROE increase for Identified Projects."</f>
        <v>C.   Determine Income Taxes using Return with hypothetical 0 basis point ROE increase for Identified Projects.</v>
      </c>
      <c r="D32" s="694"/>
      <c r="E32" s="694"/>
      <c r="F32" s="695"/>
      <c r="G32" s="695"/>
      <c r="H32" s="695"/>
      <c r="I32" s="696"/>
      <c r="J32" s="696"/>
      <c r="K32" s="696"/>
      <c r="L32" s="696"/>
      <c r="M32" s="696"/>
      <c r="N32" s="696"/>
      <c r="O32" s="695"/>
      <c r="P32" s="696"/>
    </row>
    <row r="33" spans="2:16">
      <c r="C33" s="651"/>
      <c r="D33" s="654"/>
      <c r="E33" s="654"/>
      <c r="F33" s="679"/>
      <c r="G33" s="679"/>
      <c r="H33" s="679"/>
      <c r="I33" s="670"/>
      <c r="J33" s="670"/>
      <c r="K33" s="670"/>
      <c r="L33" s="670"/>
      <c r="M33" s="670"/>
      <c r="N33" s="670"/>
      <c r="O33" s="679"/>
      <c r="P33" s="670"/>
    </row>
    <row r="34" spans="2:16">
      <c r="C34" s="655" t="s">
        <v>64</v>
      </c>
      <c r="D34" s="673"/>
      <c r="F34" s="697">
        <f>F30</f>
        <v>200338893.773653</v>
      </c>
      <c r="G34" s="679"/>
      <c r="H34" s="679"/>
      <c r="I34" s="679"/>
      <c r="J34" s="679"/>
      <c r="K34" s="679"/>
      <c r="L34" s="679"/>
      <c r="M34" s="679"/>
      <c r="N34" s="679"/>
      <c r="O34" s="679"/>
      <c r="P34" s="679"/>
    </row>
    <row r="35" spans="2:16">
      <c r="C35" s="651" t="str">
        <f>"   Effective Tax Rate  (TCOS, ln "&amp;TCOS!B170&amp;")"</f>
        <v xml:space="preserve">   Effective Tax Rate  (TCOS, ln 97)</v>
      </c>
      <c r="D35" s="529"/>
      <c r="F35" s="698">
        <f>TCOS!G170</f>
        <v>0.25536717382130197</v>
      </c>
      <c r="G35" s="308"/>
      <c r="H35" s="699"/>
      <c r="I35" s="308"/>
      <c r="J35" s="418"/>
      <c r="K35" s="308"/>
      <c r="L35" s="308"/>
      <c r="M35" s="308"/>
      <c r="N35" s="308"/>
      <c r="O35" s="308"/>
      <c r="P35" s="418"/>
    </row>
    <row r="36" spans="2:16">
      <c r="C36" s="693" t="s">
        <v>65</v>
      </c>
      <c r="D36" s="529"/>
      <c r="F36" s="700">
        <f>F34*F35</f>
        <v>51159977.109463796</v>
      </c>
      <c r="G36" s="308"/>
      <c r="H36" s="699"/>
      <c r="I36" s="308"/>
      <c r="J36" s="418"/>
      <c r="K36" s="308"/>
      <c r="L36" s="308"/>
      <c r="M36" s="308"/>
      <c r="N36" s="308"/>
      <c r="O36" s="308"/>
      <c r="P36" s="418"/>
    </row>
    <row r="37" spans="2:16" ht="15">
      <c r="C37" s="651" t="s">
        <v>107</v>
      </c>
      <c r="D37" s="319"/>
      <c r="F37" s="701">
        <f>TCOS!L178</f>
        <v>0</v>
      </c>
      <c r="G37" s="319"/>
      <c r="H37" s="319"/>
      <c r="I37" s="319"/>
      <c r="J37" s="319"/>
      <c r="K37" s="319"/>
      <c r="L37" s="319"/>
      <c r="M37" s="319"/>
      <c r="N37" s="319"/>
      <c r="O37" s="230"/>
      <c r="P37" s="319"/>
    </row>
    <row r="38" spans="2:16" ht="15">
      <c r="C38" s="651" t="s">
        <v>560</v>
      </c>
      <c r="D38" s="319"/>
      <c r="F38" s="701">
        <f>TCOS!L179</f>
        <v>1559373.683413229</v>
      </c>
      <c r="G38" s="319"/>
      <c r="H38" s="319"/>
      <c r="I38" s="319"/>
      <c r="J38" s="319"/>
      <c r="K38" s="319"/>
      <c r="L38" s="319"/>
      <c r="M38" s="319"/>
      <c r="N38" s="319"/>
      <c r="O38" s="230"/>
      <c r="P38" s="319"/>
    </row>
    <row r="39" spans="2:16" ht="15.75" thickBot="1">
      <c r="C39" s="651" t="s">
        <v>562</v>
      </c>
      <c r="D39" s="319"/>
      <c r="F39" s="702">
        <f>TCOS!L180</f>
        <v>441561.98216133477</v>
      </c>
      <c r="G39" s="319"/>
      <c r="H39" s="319"/>
      <c r="I39" s="319"/>
      <c r="J39" s="319"/>
      <c r="K39" s="319"/>
      <c r="L39" s="319"/>
      <c r="M39" s="319"/>
      <c r="N39" s="319"/>
      <c r="O39" s="230"/>
      <c r="P39" s="319"/>
    </row>
    <row r="40" spans="2:16" ht="15">
      <c r="C40" s="693" t="s">
        <v>66</v>
      </c>
      <c r="D40" s="319"/>
      <c r="F40" s="701">
        <f>F36+F37+F38+F39</f>
        <v>53160912.775038362</v>
      </c>
      <c r="G40" s="949"/>
      <c r="H40" s="319"/>
      <c r="I40" s="319"/>
      <c r="J40" s="319"/>
      <c r="K40" s="319"/>
      <c r="L40" s="319"/>
      <c r="M40" s="319"/>
      <c r="N40" s="319"/>
      <c r="O40" s="188"/>
      <c r="P40" s="319"/>
    </row>
    <row r="41" spans="2:16" ht="12.75" customHeight="1">
      <c r="C41" s="239"/>
      <c r="D41" s="319"/>
      <c r="E41" s="319"/>
      <c r="F41" s="319"/>
      <c r="G41" s="319"/>
      <c r="H41" s="319"/>
      <c r="I41" s="319"/>
      <c r="J41" s="319"/>
      <c r="K41" s="319"/>
      <c r="L41" s="319"/>
      <c r="M41" s="319"/>
      <c r="N41" s="319"/>
      <c r="O41" s="188"/>
      <c r="P41" s="319"/>
    </row>
    <row r="42" spans="2:16" ht="18.75">
      <c r="B42" s="648" t="s">
        <v>472</v>
      </c>
      <c r="C42" s="647" t="str">
        <f>"Calculate Net Plant Carrying Charge Rate (Fixed Charge Rate or FCR) with hypothetical "&amp;F17&amp;""</f>
        <v>Calculate Net Plant Carrying Charge Rate (Fixed Charge Rate or FCR) with hypothetical 0</v>
      </c>
      <c r="D42" s="319"/>
      <c r="E42" s="319"/>
      <c r="F42" s="319"/>
      <c r="G42" s="319"/>
      <c r="H42" s="319"/>
      <c r="I42" s="319"/>
      <c r="J42" s="319"/>
      <c r="K42" s="319"/>
      <c r="L42" s="319"/>
      <c r="M42" s="319"/>
      <c r="N42" s="319"/>
      <c r="O42" s="188"/>
      <c r="P42" s="319"/>
    </row>
    <row r="43" spans="2:16" ht="18.75" customHeight="1">
      <c r="C43" s="647" t="str">
        <f>"basis point ROE increase."</f>
        <v>basis point ROE increase.</v>
      </c>
      <c r="D43" s="319"/>
      <c r="E43" s="319"/>
      <c r="F43" s="319"/>
      <c r="G43" s="319"/>
      <c r="H43" s="319"/>
      <c r="I43" s="319"/>
      <c r="J43" s="319"/>
      <c r="K43" s="319"/>
      <c r="L43" s="319"/>
      <c r="M43" s="319"/>
      <c r="N43" s="319"/>
      <c r="O43" s="188"/>
      <c r="P43" s="319"/>
    </row>
    <row r="44" spans="2:16" ht="12.75" customHeight="1">
      <c r="C44" s="647"/>
      <c r="D44" s="319"/>
      <c r="E44" s="319"/>
      <c r="F44" s="319"/>
      <c r="G44" s="319"/>
      <c r="H44" s="319"/>
      <c r="I44" s="319"/>
      <c r="J44" s="319"/>
      <c r="K44" s="319"/>
      <c r="L44" s="319"/>
      <c r="M44" s="319"/>
      <c r="N44" s="319"/>
      <c r="O44" s="188"/>
      <c r="P44" s="319"/>
    </row>
    <row r="45" spans="2:16" ht="15.75">
      <c r="C45" s="650" t="s">
        <v>263</v>
      </c>
      <c r="D45" s="319"/>
      <c r="E45" s="319"/>
      <c r="F45" s="318"/>
      <c r="G45" s="319"/>
      <c r="H45" s="319"/>
      <c r="I45" s="319"/>
      <c r="J45" s="319"/>
      <c r="K45" s="319"/>
      <c r="L45" s="319"/>
      <c r="M45" s="319"/>
      <c r="N45" s="319"/>
      <c r="O45" s="188"/>
      <c r="P45" s="319"/>
    </row>
    <row r="46" spans="2:16">
      <c r="B46" s="341"/>
      <c r="C46" s="703"/>
      <c r="D46" s="704"/>
      <c r="E46" s="704"/>
      <c r="F46" s="704"/>
      <c r="G46" s="704"/>
      <c r="H46" s="704"/>
      <c r="I46" s="704"/>
      <c r="J46" s="704"/>
      <c r="K46" s="704"/>
      <c r="L46" s="704"/>
      <c r="M46" s="704"/>
      <c r="N46" s="704"/>
      <c r="O46" s="701"/>
      <c r="P46" s="704"/>
    </row>
    <row r="47" spans="2:16" ht="12.75" customHeight="1">
      <c r="B47" s="341"/>
      <c r="C47" s="651" t="str">
        <f>"   Annual Revenue Requirement  (TCOS, ln "&amp;TCOS!B13&amp;")"</f>
        <v xml:space="preserve">   Annual Revenue Requirement  (TCOS, ln 1)</v>
      </c>
      <c r="D47" s="704"/>
      <c r="E47" s="704"/>
      <c r="G47" s="701">
        <f>TCOS!L13</f>
        <v>413056164.43384409</v>
      </c>
      <c r="H47" s="950"/>
      <c r="I47" s="704"/>
      <c r="J47" s="704"/>
      <c r="K47" s="704"/>
      <c r="L47" s="704"/>
      <c r="M47" s="704"/>
      <c r="N47" s="704"/>
      <c r="O47" s="701"/>
      <c r="P47" s="704"/>
    </row>
    <row r="48" spans="2:16" ht="12.75" customHeight="1">
      <c r="B48" s="341"/>
      <c r="C48" s="703" t="str">
        <f>"   Lease Payments (TCOS, Ln "&amp;TCOS!B150&amp;")"</f>
        <v xml:space="preserve">   Lease Payments (TCOS, Ln 80)</v>
      </c>
      <c r="D48" s="704"/>
      <c r="E48" s="704"/>
      <c r="G48" s="701">
        <f>+TCOS!L150</f>
        <v>0</v>
      </c>
      <c r="H48" s="950"/>
      <c r="I48" s="704"/>
      <c r="J48" s="704"/>
      <c r="K48" s="704"/>
      <c r="L48" s="704"/>
      <c r="M48" s="704"/>
      <c r="N48" s="704"/>
      <c r="O48" s="701"/>
      <c r="P48" s="704"/>
    </row>
    <row r="49" spans="2:16">
      <c r="B49" s="341"/>
      <c r="C49" s="651" t="str">
        <f>"   Return  (TCOS, ln "&amp;TCOS!B183&amp;")"</f>
        <v xml:space="preserve">   Return  (TCOS, ln 109)</v>
      </c>
      <c r="D49" s="704"/>
      <c r="E49" s="704"/>
      <c r="G49" s="706">
        <f>TCOS!L183</f>
        <v>199151809.91833746</v>
      </c>
      <c r="H49" s="951"/>
      <c r="I49" s="704"/>
      <c r="J49" s="707"/>
      <c r="K49" s="707"/>
      <c r="L49" s="707"/>
      <c r="M49" s="707"/>
      <c r="N49" s="707"/>
      <c r="O49" s="701"/>
      <c r="P49" s="707"/>
    </row>
    <row r="50" spans="2:16">
      <c r="B50" s="341"/>
      <c r="C50" s="651" t="str">
        <f>"   Income Taxes  (TCOS, ln "&amp;TCOS!B181&amp;")"</f>
        <v xml:space="preserve">   Income Taxes  (TCOS, ln 108)</v>
      </c>
      <c r="D50" s="704"/>
      <c r="E50" s="704"/>
      <c r="G50" s="708">
        <f>F40</f>
        <v>53160912.775038362</v>
      </c>
      <c r="H50" s="950"/>
      <c r="I50" s="704"/>
      <c r="J50" s="709"/>
      <c r="K50" s="709"/>
      <c r="L50" s="709"/>
      <c r="M50" s="709"/>
      <c r="N50" s="709"/>
      <c r="O50" s="704"/>
      <c r="P50" s="709"/>
    </row>
    <row r="51" spans="2:16">
      <c r="B51" s="341"/>
      <c r="C51" s="716" t="s">
        <v>617</v>
      </c>
      <c r="D51" s="704"/>
      <c r="E51" s="704"/>
      <c r="G51" s="706">
        <f>G47-G49-G50-G48</f>
        <v>160743441.74046826</v>
      </c>
      <c r="H51" s="706"/>
      <c r="I51" s="704"/>
      <c r="J51" s="710"/>
      <c r="K51" s="710"/>
      <c r="L51" s="710"/>
      <c r="M51" s="710"/>
      <c r="N51" s="710"/>
      <c r="O51" s="710"/>
      <c r="P51" s="710"/>
    </row>
    <row r="52" spans="2:16">
      <c r="B52" s="341"/>
      <c r="C52" s="703"/>
      <c r="D52" s="704"/>
      <c r="E52" s="704"/>
      <c r="F52" s="701"/>
      <c r="G52" s="711"/>
      <c r="H52" s="712"/>
      <c r="I52" s="704"/>
      <c r="J52" s="712"/>
      <c r="K52" s="712"/>
      <c r="L52" s="712"/>
      <c r="M52" s="712"/>
      <c r="N52" s="712"/>
      <c r="O52" s="712"/>
      <c r="P52" s="712"/>
    </row>
    <row r="53" spans="2:16" ht="15.75">
      <c r="B53" s="341"/>
      <c r="C53" s="650" t="str">
        <f>"B.   Determine Annual Revenue Requirement with hypothetical "&amp;F17&amp;" basis point increase in ROE."</f>
        <v>B.   Determine Annual Revenue Requirement with hypothetical 0 basis point increase in ROE.</v>
      </c>
      <c r="D53" s="713"/>
      <c r="E53" s="713"/>
      <c r="F53" s="701"/>
      <c r="G53" s="711"/>
      <c r="H53" s="712"/>
      <c r="I53" s="712"/>
      <c r="J53" s="712"/>
      <c r="K53" s="712"/>
      <c r="L53" s="712"/>
      <c r="M53" s="712"/>
      <c r="N53" s="712"/>
      <c r="O53" s="712"/>
      <c r="P53" s="712"/>
    </row>
    <row r="54" spans="2:16">
      <c r="B54" s="341"/>
      <c r="C54" s="703"/>
      <c r="D54" s="713"/>
      <c r="E54" s="713"/>
      <c r="F54" s="701"/>
      <c r="G54" s="711"/>
      <c r="H54" s="712"/>
      <c r="I54" s="712"/>
      <c r="J54" s="712"/>
      <c r="K54" s="712"/>
      <c r="L54" s="712"/>
      <c r="M54" s="712"/>
      <c r="N54" s="712"/>
      <c r="O54" s="712"/>
      <c r="P54" s="712"/>
    </row>
    <row r="55" spans="2:16">
      <c r="B55" s="341"/>
      <c r="C55" s="703" t="str">
        <f>C51</f>
        <v xml:space="preserve">   Annual Revenue Requirement, Less Return and Taxes</v>
      </c>
      <c r="D55" s="713"/>
      <c r="E55" s="713"/>
      <c r="G55" s="701">
        <f>G51</f>
        <v>160743441.74046826</v>
      </c>
      <c r="H55" s="701"/>
      <c r="I55" s="704"/>
      <c r="J55" s="704"/>
      <c r="K55" s="704"/>
      <c r="L55" s="704"/>
      <c r="M55" s="704"/>
      <c r="N55" s="704"/>
      <c r="O55" s="714"/>
      <c r="P55" s="704"/>
    </row>
    <row r="56" spans="2:16">
      <c r="B56" s="341"/>
      <c r="C56" s="655" t="s">
        <v>104</v>
      </c>
      <c r="D56" s="715"/>
      <c r="E56" s="716"/>
      <c r="G56" s="717">
        <f>F30</f>
        <v>200338893.773653</v>
      </c>
      <c r="H56" s="952"/>
      <c r="I56" s="704"/>
      <c r="J56" s="716"/>
      <c r="K56" s="716"/>
      <c r="L56" s="716"/>
      <c r="M56" s="716"/>
      <c r="N56" s="716"/>
      <c r="O56" s="716"/>
      <c r="P56" s="716"/>
    </row>
    <row r="57" spans="2:16" ht="12.75" customHeight="1">
      <c r="B57" s="341"/>
      <c r="C57" s="651" t="s">
        <v>72</v>
      </c>
      <c r="D57" s="704"/>
      <c r="E57" s="704"/>
      <c r="G57" s="708">
        <f>F40</f>
        <v>53160912.775038362</v>
      </c>
      <c r="H57" s="950"/>
      <c r="I57" s="704"/>
      <c r="J57" s="418"/>
      <c r="K57" s="308"/>
      <c r="L57" s="308"/>
      <c r="M57" s="308"/>
      <c r="N57" s="308"/>
      <c r="O57" s="308"/>
      <c r="P57" s="418"/>
    </row>
    <row r="58" spans="2:16">
      <c r="B58" s="341"/>
      <c r="C58" s="716" t="str">
        <f>"   Annual Revenue Requirement, with "&amp;F17&amp;" Basis Point ROE increase"</f>
        <v xml:space="preserve">   Annual Revenue Requirement, with 0 Basis Point ROE increase</v>
      </c>
      <c r="D58" s="529"/>
      <c r="E58" s="308"/>
      <c r="G58" s="700">
        <f>SUM(G55:G57)</f>
        <v>414243248.28915966</v>
      </c>
      <c r="H58" s="953"/>
      <c r="I58" s="704"/>
      <c r="J58" s="418"/>
      <c r="K58" s="308"/>
      <c r="L58" s="308"/>
      <c r="M58" s="308"/>
      <c r="N58" s="308"/>
      <c r="O58" s="308"/>
      <c r="P58" s="418"/>
    </row>
    <row r="59" spans="2:16">
      <c r="B59" s="341"/>
      <c r="C59" s="651" t="str">
        <f>"   Depreciation &amp; Amortization (TCOS, ln "&amp;TCOS!B154&amp;")"</f>
        <v xml:space="preserve">   Depreciation &amp; Amortization (TCOS, ln 83)</v>
      </c>
      <c r="D59" s="529"/>
      <c r="E59" s="308"/>
      <c r="G59" s="718">
        <f>TCOS!L154</f>
        <v>85532984.29614073</v>
      </c>
      <c r="H59" s="953"/>
      <c r="I59" s="704"/>
      <c r="J59" s="418"/>
      <c r="K59" s="308"/>
      <c r="L59" s="308"/>
      <c r="M59" s="308"/>
      <c r="N59" s="308"/>
      <c r="O59" s="308"/>
      <c r="P59" s="418"/>
    </row>
    <row r="60" spans="2:16">
      <c r="B60" s="341"/>
      <c r="C60" s="716" t="str">
        <f>"   Annual Rev. Req, w/"&amp;F17&amp;" Basis Point ROE increase, less Depreciation"</f>
        <v xml:space="preserve">   Annual Rev. Req, w/0 Basis Point ROE increase, less Depreciation</v>
      </c>
      <c r="D60" s="529"/>
      <c r="E60" s="308"/>
      <c r="G60" s="700">
        <f>G58-G59</f>
        <v>328710263.99301893</v>
      </c>
      <c r="H60" s="953"/>
      <c r="I60" s="704"/>
      <c r="J60" s="418"/>
      <c r="K60" s="308"/>
      <c r="L60" s="308"/>
      <c r="M60" s="308"/>
      <c r="N60" s="308"/>
      <c r="O60" s="308"/>
      <c r="P60" s="418"/>
    </row>
    <row r="61" spans="2:16">
      <c r="B61" s="341"/>
      <c r="C61" s="308"/>
      <c r="D61" s="529"/>
      <c r="E61" s="308"/>
      <c r="F61" s="308"/>
      <c r="G61" s="308"/>
      <c r="H61" s="954"/>
      <c r="I61" s="704"/>
      <c r="J61" s="418"/>
      <c r="K61" s="308"/>
      <c r="L61" s="308"/>
      <c r="M61" s="308"/>
      <c r="N61" s="308"/>
      <c r="O61" s="308"/>
      <c r="P61" s="418"/>
    </row>
    <row r="62" spans="2:16" ht="15.75">
      <c r="B62" s="341"/>
      <c r="C62" s="650" t="str">
        <f>"C.   Determine FCR with hypothetical "&amp;F17&amp;" basis point ROE increase."</f>
        <v>C.   Determine FCR with hypothetical 0 basis point ROE increase.</v>
      </c>
      <c r="D62" s="529"/>
      <c r="E62" s="308"/>
      <c r="F62" s="308"/>
      <c r="G62" s="308"/>
      <c r="H62" s="954"/>
      <c r="I62" s="704"/>
      <c r="J62" s="418"/>
      <c r="K62" s="308"/>
      <c r="L62" s="308"/>
      <c r="M62" s="308"/>
      <c r="N62" s="308"/>
      <c r="O62" s="308"/>
      <c r="P62" s="418"/>
    </row>
    <row r="63" spans="2:16">
      <c r="B63" s="341"/>
      <c r="C63" s="308"/>
      <c r="D63" s="529"/>
      <c r="E63" s="308"/>
      <c r="F63" s="308"/>
      <c r="G63" s="308"/>
      <c r="H63" s="954"/>
      <c r="I63" s="704"/>
      <c r="J63" s="418"/>
      <c r="K63" s="308"/>
      <c r="L63" s="308"/>
      <c r="M63" s="308"/>
      <c r="N63" s="308"/>
      <c r="O63" s="308"/>
      <c r="P63" s="418"/>
    </row>
    <row r="64" spans="2:16">
      <c r="B64" s="341"/>
      <c r="C64" s="651" t="str">
        <f>"   Net Transmission Plant  (Projected TCOS, ln "&amp;TCOS!B79&amp;")"</f>
        <v xml:space="preserve">   Net Transmission Plant  (Projected TCOS, ln 33)</v>
      </c>
      <c r="D64" s="529"/>
      <c r="E64" s="308"/>
      <c r="G64" s="700">
        <f>TCOS!L79</f>
        <v>2851452895.6275201</v>
      </c>
      <c r="H64" s="953"/>
      <c r="I64" s="704"/>
      <c r="J64" s="418"/>
      <c r="K64" s="308"/>
      <c r="L64" s="308"/>
      <c r="M64" s="308"/>
      <c r="N64" s="308"/>
      <c r="O64" s="308"/>
      <c r="P64" s="418"/>
    </row>
    <row r="65" spans="2:17">
      <c r="B65" s="341"/>
      <c r="C65" s="716" t="str">
        <f>"   Annual Revenue Requirement, with "&amp;F17&amp;" Basis Point ROE increase"</f>
        <v xml:space="preserve">   Annual Revenue Requirement, with 0 Basis Point ROE increase</v>
      </c>
      <c r="D65" s="529"/>
      <c r="E65" s="308"/>
      <c r="G65" s="700">
        <f>G58</f>
        <v>414243248.28915966</v>
      </c>
      <c r="H65" s="953"/>
      <c r="I65" s="704"/>
      <c r="J65" s="418"/>
      <c r="K65" s="308"/>
      <c r="L65" s="308"/>
      <c r="M65" s="308"/>
      <c r="N65" s="308"/>
      <c r="O65" s="308"/>
      <c r="P65" s="418"/>
    </row>
    <row r="66" spans="2:17">
      <c r="B66" s="341"/>
      <c r="C66" s="716" t="str">
        <f>"   FCR with "&amp;F17&amp;" Basis Point increase in ROE"</f>
        <v xml:space="preserve">   FCR with 0 Basis Point increase in ROE</v>
      </c>
      <c r="D66" s="529"/>
      <c r="E66" s="308"/>
      <c r="G66" s="698">
        <f>IF(G64=0,0,G65/G64)</f>
        <v>0.14527444900961517</v>
      </c>
      <c r="H66" s="955"/>
      <c r="I66" s="704"/>
      <c r="J66" s="418"/>
      <c r="K66" s="308"/>
      <c r="L66" s="308"/>
      <c r="M66" s="308"/>
      <c r="N66" s="308"/>
      <c r="O66" s="308"/>
      <c r="P66" s="418"/>
    </row>
    <row r="67" spans="2:17">
      <c r="B67" s="341"/>
      <c r="C67" s="208"/>
      <c r="D67" s="529"/>
      <c r="E67" s="308"/>
      <c r="G67" s="341"/>
      <c r="H67" s="945"/>
      <c r="I67" s="704"/>
      <c r="J67" s="418"/>
      <c r="K67" s="308"/>
      <c r="L67" s="308"/>
      <c r="M67" s="308"/>
      <c r="N67" s="308"/>
      <c r="O67" s="308"/>
      <c r="P67" s="418"/>
    </row>
    <row r="68" spans="2:17">
      <c r="B68" s="341"/>
      <c r="C68" s="716" t="str">
        <f>"   Annual Rev. Req, w / "&amp;F17&amp;" Basis Point ROE increase, less Dep."</f>
        <v xml:space="preserve">   Annual Rev. Req, w / 0 Basis Point ROE increase, less Dep.</v>
      </c>
      <c r="D68" s="529"/>
      <c r="E68" s="308"/>
      <c r="G68" s="700">
        <f>G60</f>
        <v>328710263.99301893</v>
      </c>
      <c r="H68" s="953"/>
      <c r="I68" s="704"/>
      <c r="J68" s="418"/>
      <c r="K68" s="308"/>
      <c r="L68" s="308"/>
      <c r="M68" s="308"/>
      <c r="N68" s="308"/>
      <c r="O68" s="308"/>
      <c r="P68" s="418"/>
    </row>
    <row r="69" spans="2:17">
      <c r="B69" s="341"/>
      <c r="C69" s="716" t="str">
        <f>"   FCR with "&amp;F17&amp;" Basis Point ROE increase, less Depreciation"</f>
        <v xml:space="preserve">   FCR with 0 Basis Point ROE increase, less Depreciation</v>
      </c>
      <c r="D69" s="529"/>
      <c r="E69" s="308"/>
      <c r="G69" s="698">
        <f>IF(G64=0,0,G68/G64)</f>
        <v>0.11527816731500998</v>
      </c>
      <c r="H69" s="955"/>
      <c r="I69" s="719"/>
      <c r="J69" s="418"/>
      <c r="K69" s="308"/>
      <c r="L69" s="308"/>
      <c r="M69" s="308"/>
      <c r="N69" s="308"/>
      <c r="O69" s="308"/>
      <c r="P69" s="418"/>
    </row>
    <row r="70" spans="2:17">
      <c r="B70" s="341"/>
      <c r="C70" s="651" t="str">
        <f>"   FCR less Depreciation  (TCOS, ln "&amp;TCOS!B31&amp;")"</f>
        <v xml:space="preserve">   FCR less Depreciation  (TCOS, ln 10)</v>
      </c>
      <c r="D70" s="529"/>
      <c r="E70" s="308"/>
      <c r="G70" s="720">
        <f>TCOS!L31</f>
        <v>0.11486185889303469</v>
      </c>
      <c r="H70" s="956"/>
      <c r="I70" s="719"/>
      <c r="J70" s="418"/>
      <c r="K70" s="308"/>
      <c r="L70" s="308"/>
      <c r="M70" s="308"/>
      <c r="N70" s="308"/>
      <c r="O70" s="308"/>
      <c r="P70" s="418"/>
    </row>
    <row r="71" spans="2:17">
      <c r="B71" s="341"/>
      <c r="C71" s="716" t="str">
        <f>"   Incremental FCR with "&amp;F17&amp;" Basis Point ROE increase, less Depreciation"</f>
        <v xml:space="preserve">   Incremental FCR with 0 Basis Point ROE increase, less Depreciation</v>
      </c>
      <c r="D71" s="529"/>
      <c r="E71" s="308"/>
      <c r="G71" s="698">
        <f>G69-G70</f>
        <v>4.1630842197529216E-4</v>
      </c>
      <c r="H71" s="955"/>
      <c r="I71" s="704"/>
      <c r="J71" s="418"/>
      <c r="K71" s="308"/>
      <c r="L71" s="308"/>
      <c r="M71" s="308"/>
      <c r="N71" s="308"/>
      <c r="O71" s="308"/>
      <c r="P71" s="418"/>
    </row>
    <row r="72" spans="2:17">
      <c r="B72" s="341"/>
      <c r="C72" s="716"/>
      <c r="D72" s="529"/>
      <c r="E72" s="308"/>
      <c r="F72" s="698"/>
      <c r="G72" s="308"/>
      <c r="H72" s="954"/>
      <c r="I72" s="308"/>
      <c r="J72" s="418"/>
      <c r="K72" s="308"/>
      <c r="L72" s="308"/>
      <c r="M72" s="308"/>
      <c r="N72" s="308"/>
      <c r="O72" s="308"/>
      <c r="P72" s="418"/>
    </row>
    <row r="73" spans="2:17" ht="18.75">
      <c r="B73" s="648" t="s">
        <v>473</v>
      </c>
      <c r="C73" s="647" t="s">
        <v>73</v>
      </c>
      <c r="D73" s="529"/>
      <c r="E73" s="308"/>
      <c r="F73" s="698"/>
      <c r="G73" s="308"/>
      <c r="H73" s="954"/>
      <c r="I73" s="308"/>
      <c r="J73" s="418"/>
      <c r="K73" s="308"/>
      <c r="L73" s="308"/>
      <c r="M73" s="308"/>
      <c r="N73" s="308"/>
      <c r="O73" s="308"/>
      <c r="P73" s="418"/>
    </row>
    <row r="74" spans="2:17">
      <c r="B74" s="341"/>
      <c r="C74" s="716"/>
      <c r="D74" s="529"/>
      <c r="E74" s="308"/>
      <c r="F74" s="698"/>
      <c r="G74" s="308"/>
      <c r="H74" s="954"/>
      <c r="I74" s="308"/>
      <c r="J74" s="418"/>
      <c r="K74" s="308"/>
      <c r="L74" s="308"/>
      <c r="M74" s="308"/>
      <c r="N74" s="308"/>
      <c r="O74" s="308"/>
      <c r="P74" s="418"/>
    </row>
    <row r="75" spans="2:17">
      <c r="B75" s="341"/>
      <c r="C75" s="716" t="str">
        <f>+"Average Transmission Plant Balance for "&amp;TCOS!L4&amp;" TCOS, ln "&amp;TCOS!B63</f>
        <v>Average Transmission Plant Balance for 2022 TCOS, ln 19</v>
      </c>
      <c r="D75" s="1238"/>
      <c r="E75" s="341"/>
      <c r="F75" s="341"/>
      <c r="G75" s="481">
        <f>TCOS!L63</f>
        <v>3114204438.5476923</v>
      </c>
      <c r="I75" s="308"/>
      <c r="J75" s="418"/>
      <c r="K75" s="721"/>
      <c r="L75" s="308"/>
      <c r="M75" s="308"/>
      <c r="N75" s="308"/>
      <c r="O75" s="308"/>
      <c r="P75" s="418"/>
    </row>
    <row r="76" spans="2:17">
      <c r="B76" s="341"/>
      <c r="C76" s="716" t="str">
        <f>"Annual Depreciation and Amortization Expense (TCOS, ln "&amp;TCOS!B154&amp;")"</f>
        <v>Annual Depreciation and Amortization Expense (TCOS, ln 83)</v>
      </c>
      <c r="D76" s="529"/>
      <c r="E76" s="308"/>
      <c r="G76" s="481">
        <f>TCOS!L154</f>
        <v>85532984.29614073</v>
      </c>
      <c r="H76" s="699"/>
      <c r="I76" s="308"/>
      <c r="J76" s="418"/>
      <c r="K76" s="308"/>
      <c r="L76" s="308"/>
      <c r="M76" s="308"/>
      <c r="N76" s="308"/>
      <c r="O76" s="308"/>
      <c r="P76" s="418"/>
    </row>
    <row r="77" spans="2:17" ht="12.75" customHeight="1">
      <c r="B77" s="341"/>
      <c r="C77" s="716" t="s">
        <v>74</v>
      </c>
      <c r="D77" s="529"/>
      <c r="E77" s="308"/>
      <c r="G77" s="890">
        <f>G76/G75</f>
        <v>2.7465436513226794E-2</v>
      </c>
      <c r="H77" s="722"/>
      <c r="I77" s="1557"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557"/>
      <c r="K77" s="1557"/>
      <c r="L77" s="1557"/>
      <c r="M77" s="1557"/>
      <c r="N77" s="1557"/>
      <c r="O77" s="1557"/>
      <c r="P77" s="649"/>
      <c r="Q77" s="649"/>
    </row>
    <row r="78" spans="2:17">
      <c r="B78" s="341"/>
      <c r="C78" s="716" t="s">
        <v>75</v>
      </c>
      <c r="D78" s="529"/>
      <c r="E78" s="308"/>
      <c r="G78" s="723">
        <f>IF(G77=0,0,1/G77)</f>
        <v>36.409397663074479</v>
      </c>
      <c r="H78" s="699"/>
      <c r="I78" s="1557"/>
      <c r="J78" s="1557"/>
      <c r="K78" s="1557"/>
      <c r="L78" s="1557"/>
      <c r="M78" s="1557"/>
      <c r="N78" s="1557"/>
      <c r="O78" s="1557"/>
      <c r="P78" s="649"/>
      <c r="Q78" s="649"/>
    </row>
    <row r="79" spans="2:17">
      <c r="B79" s="341"/>
      <c r="C79" s="716" t="s">
        <v>598</v>
      </c>
      <c r="D79" s="529"/>
      <c r="E79" s="308"/>
      <c r="G79" s="724">
        <f>ROUND(G78,0)</f>
        <v>36</v>
      </c>
      <c r="H79" s="699"/>
      <c r="I79" s="1557"/>
      <c r="J79" s="1557"/>
      <c r="K79" s="1557"/>
      <c r="L79" s="1557"/>
      <c r="M79" s="1557"/>
      <c r="N79" s="1557"/>
      <c r="O79" s="1557"/>
      <c r="P79" s="649"/>
      <c r="Q79" s="649"/>
    </row>
    <row r="80" spans="2:17">
      <c r="B80" s="341"/>
      <c r="C80" s="716"/>
      <c r="D80" s="529"/>
      <c r="E80" s="308"/>
      <c r="G80" s="725"/>
      <c r="H80" s="699"/>
      <c r="I80" s="1557"/>
      <c r="J80" s="1557"/>
      <c r="K80" s="1557"/>
      <c r="L80" s="1557"/>
      <c r="M80" s="1557"/>
      <c r="N80" s="1557"/>
      <c r="O80" s="1557"/>
    </row>
    <row r="81" spans="1:16">
      <c r="C81" s="726"/>
      <c r="D81" s="727"/>
      <c r="E81" s="727"/>
      <c r="F81" s="727"/>
      <c r="G81" s="721"/>
      <c r="H81" s="721"/>
    </row>
    <row r="82" spans="1:16" ht="20.25">
      <c r="A82" s="728" t="str">
        <f>""&amp;A6&amp;" Worksheet J -  ATRR PROJECTED Calculation for PJM Projects Charged to Benefiting Zones"</f>
        <v>AEP Indiana Michigan Transmission Company Worksheet J -  ATRR PROJECTED Calculation for PJM Projects Charged to Benefiting Zones</v>
      </c>
      <c r="B82" s="341"/>
      <c r="C82" s="716"/>
      <c r="D82" s="529"/>
      <c r="E82" s="308"/>
      <c r="F82" s="698"/>
      <c r="G82" s="308"/>
      <c r="H82" s="699"/>
      <c r="K82" s="555"/>
      <c r="L82" s="555"/>
      <c r="M82" s="555"/>
      <c r="N82" s="644" t="str">
        <f>"Page "&amp;SUM(P$8:P82)&amp;" of "</f>
        <v xml:space="preserve">Page 2 of </v>
      </c>
      <c r="O82" s="645">
        <f>COUNT(P$8:P$56656)</f>
        <v>11</v>
      </c>
      <c r="P82" s="729">
        <v>1</v>
      </c>
    </row>
    <row r="83" spans="1:16">
      <c r="B83" s="341"/>
      <c r="C83" s="308"/>
      <c r="D83" s="529"/>
      <c r="E83" s="308"/>
      <c r="F83" s="308"/>
      <c r="G83" s="308"/>
      <c r="H83" s="699"/>
      <c r="I83" s="308"/>
      <c r="J83" s="418"/>
      <c r="K83" s="308"/>
      <c r="L83" s="308"/>
      <c r="M83" s="308"/>
      <c r="N83" s="308"/>
      <c r="O83" s="308"/>
      <c r="P83" s="418"/>
    </row>
    <row r="84" spans="1:16" ht="18">
      <c r="B84" s="648" t="s">
        <v>474</v>
      </c>
      <c r="C84" s="730" t="s">
        <v>95</v>
      </c>
      <c r="D84" s="529"/>
      <c r="E84" s="308"/>
      <c r="F84" s="308"/>
      <c r="G84" s="308"/>
      <c r="H84" s="699"/>
      <c r="I84" s="699"/>
      <c r="J84" s="721"/>
      <c r="K84" s="699"/>
      <c r="L84" s="699"/>
      <c r="M84" s="699"/>
      <c r="N84" s="699"/>
      <c r="O84" s="308"/>
    </row>
    <row r="85" spans="1:16" ht="18.75">
      <c r="B85" s="648"/>
      <c r="C85" s="647"/>
      <c r="D85" s="529"/>
      <c r="E85" s="308"/>
      <c r="F85" s="308"/>
      <c r="G85" s="308"/>
      <c r="H85" s="699"/>
      <c r="I85" s="699"/>
      <c r="J85" s="721"/>
      <c r="K85" s="699"/>
      <c r="L85" s="699"/>
      <c r="M85" s="699"/>
      <c r="N85" s="699"/>
      <c r="O85" s="308"/>
    </row>
    <row r="86" spans="1:16" ht="18.75">
      <c r="B86" s="648"/>
      <c r="C86" s="647" t="s">
        <v>96</v>
      </c>
      <c r="D86" s="529"/>
      <c r="E86" s="308"/>
      <c r="F86" s="308"/>
      <c r="G86" s="308"/>
      <c r="H86" s="699"/>
      <c r="I86" s="699"/>
      <c r="J86" s="721"/>
      <c r="K86" s="699"/>
      <c r="L86" s="699"/>
      <c r="M86" s="699"/>
      <c r="N86" s="699"/>
      <c r="O86" s="308"/>
    </row>
    <row r="87" spans="1:16" ht="15.75" thickBot="1">
      <c r="C87" s="239"/>
      <c r="D87" s="529"/>
      <c r="E87" s="308"/>
      <c r="F87" s="308"/>
      <c r="G87" s="308"/>
      <c r="H87" s="699"/>
      <c r="I87" s="699"/>
      <c r="J87" s="721"/>
      <c r="K87" s="699"/>
      <c r="L87" s="699"/>
      <c r="M87" s="699"/>
      <c r="N87" s="699"/>
      <c r="O87" s="308"/>
    </row>
    <row r="88" spans="1:16" ht="15.75">
      <c r="C88" s="650" t="s">
        <v>97</v>
      </c>
      <c r="D88" s="529"/>
      <c r="E88" s="308"/>
      <c r="F88" s="308"/>
      <c r="G88" s="797"/>
      <c r="H88" s="308" t="s">
        <v>76</v>
      </c>
      <c r="I88" s="308"/>
      <c r="J88" s="418"/>
      <c r="K88" s="731" t="s">
        <v>101</v>
      </c>
      <c r="L88" s="732"/>
      <c r="M88" s="733"/>
      <c r="N88" s="734">
        <f>IF(I94=0,0,VLOOKUP(I94,C101:O160,5))</f>
        <v>745415.60600021062</v>
      </c>
      <c r="O88" s="308"/>
    </row>
    <row r="89" spans="1:16" ht="15.75">
      <c r="C89" s="650"/>
      <c r="D89" s="529"/>
      <c r="E89" s="308"/>
      <c r="F89" s="308"/>
      <c r="G89" s="308"/>
      <c r="H89" s="735"/>
      <c r="I89" s="735"/>
      <c r="J89" s="736"/>
      <c r="K89" s="737" t="s">
        <v>102</v>
      </c>
      <c r="L89" s="738"/>
      <c r="M89" s="418"/>
      <c r="N89" s="739">
        <f>IF(I94=0,0,VLOOKUP(I94,C101:O160,6))</f>
        <v>745415.60600021062</v>
      </c>
      <c r="O89" s="308"/>
    </row>
    <row r="90" spans="1:16" ht="13.5" thickBot="1">
      <c r="C90" s="740" t="s">
        <v>98</v>
      </c>
      <c r="D90" s="1297" t="s">
        <v>815</v>
      </c>
      <c r="E90" s="1297"/>
      <c r="F90" s="1297"/>
      <c r="G90" s="1297"/>
      <c r="H90" s="1297"/>
      <c r="I90" s="1297"/>
      <c r="J90" s="721"/>
      <c r="K90" s="741" t="s">
        <v>240</v>
      </c>
      <c r="L90" s="742"/>
      <c r="M90" s="742"/>
      <c r="N90" s="743">
        <f>+N89-N88</f>
        <v>0</v>
      </c>
      <c r="O90" s="308"/>
    </row>
    <row r="91" spans="1:16">
      <c r="C91" s="744"/>
      <c r="D91" s="745"/>
      <c r="E91" s="725"/>
      <c r="F91" s="725"/>
      <c r="G91" s="746"/>
      <c r="H91" s="699"/>
      <c r="I91" s="699"/>
      <c r="J91" s="721"/>
      <c r="K91" s="699"/>
      <c r="L91" s="699"/>
      <c r="M91" s="699"/>
      <c r="N91" s="699"/>
      <c r="O91" s="308"/>
    </row>
    <row r="92" spans="1:16" ht="13.5" thickBot="1">
      <c r="C92" s="747"/>
      <c r="D92" s="748"/>
      <c r="E92" s="746"/>
      <c r="F92" s="746"/>
      <c r="G92" s="746"/>
      <c r="H92" s="746"/>
      <c r="I92" s="746"/>
      <c r="J92" s="749"/>
      <c r="K92" s="746"/>
      <c r="L92" s="746"/>
      <c r="M92" s="746"/>
      <c r="N92" s="746"/>
      <c r="O92" s="341"/>
    </row>
    <row r="93" spans="1:16" ht="13.5" thickBot="1">
      <c r="C93" s="750" t="s">
        <v>99</v>
      </c>
      <c r="D93" s="751"/>
      <c r="E93" s="751"/>
      <c r="F93" s="751"/>
      <c r="G93" s="751"/>
      <c r="H93" s="751"/>
      <c r="I93" s="752"/>
      <c r="J93" s="753"/>
      <c r="K93" s="308"/>
      <c r="L93" s="308"/>
      <c r="M93" s="308"/>
      <c r="N93" s="308"/>
      <c r="O93" s="754"/>
    </row>
    <row r="94" spans="1:16" ht="15">
      <c r="C94" s="755" t="s">
        <v>77</v>
      </c>
      <c r="D94" s="799">
        <v>6636011</v>
      </c>
      <c r="E94" s="716" t="s">
        <v>78</v>
      </c>
      <c r="G94" s="756"/>
      <c r="H94" s="756"/>
      <c r="I94" s="757">
        <f>$L$26</f>
        <v>2022</v>
      </c>
      <c r="J94" s="545"/>
      <c r="K94" s="1554" t="s">
        <v>249</v>
      </c>
      <c r="L94" s="1554"/>
      <c r="M94" s="1554"/>
      <c r="N94" s="1554"/>
      <c r="O94" s="1554"/>
    </row>
    <row r="95" spans="1:16">
      <c r="C95" s="755" t="s">
        <v>80</v>
      </c>
      <c r="D95" s="800">
        <v>2012</v>
      </c>
      <c r="E95" s="755" t="s">
        <v>81</v>
      </c>
      <c r="F95" s="756"/>
      <c r="H95" s="172"/>
      <c r="I95" s="801">
        <f>IF(G88="",0,$F$17)</f>
        <v>0</v>
      </c>
      <c r="J95" s="758"/>
      <c r="K95" s="721" t="s">
        <v>249</v>
      </c>
    </row>
    <row r="96" spans="1:16">
      <c r="C96" s="755" t="s">
        <v>82</v>
      </c>
      <c r="D96" s="799">
        <v>12</v>
      </c>
      <c r="E96" s="755" t="s">
        <v>83</v>
      </c>
      <c r="F96" s="756"/>
      <c r="H96" s="172"/>
      <c r="I96" s="759">
        <f>$G$70</f>
        <v>0.11486185889303469</v>
      </c>
      <c r="J96" s="760"/>
      <c r="K96" s="172" t="str">
        <f>"          INPUT PROJECTED ARR (WITH &amp; WITHOUT INCENTIVES) FROM EACH PRIOR YEAR"</f>
        <v xml:space="preserve">          INPUT PROJECTED ARR (WITH &amp; WITHOUT INCENTIVES) FROM EACH PRIOR YEAR</v>
      </c>
    </row>
    <row r="97" spans="2:15">
      <c r="C97" s="755" t="s">
        <v>84</v>
      </c>
      <c r="D97" s="761">
        <f>$G$79</f>
        <v>36</v>
      </c>
      <c r="E97" s="755" t="s">
        <v>85</v>
      </c>
      <c r="F97" s="756"/>
      <c r="H97" s="172"/>
      <c r="I97" s="759">
        <f>IF(G88="",I96,$G$69)</f>
        <v>0.11486185889303469</v>
      </c>
      <c r="J97" s="762"/>
      <c r="K97" s="172" t="s">
        <v>162</v>
      </c>
    </row>
    <row r="98" spans="2:15" ht="13.5" thickBot="1">
      <c r="C98" s="755" t="s">
        <v>86</v>
      </c>
      <c r="D98" s="798" t="s">
        <v>814</v>
      </c>
      <c r="E98" s="763" t="s">
        <v>87</v>
      </c>
      <c r="F98" s="764"/>
      <c r="G98" s="765"/>
      <c r="H98" s="765"/>
      <c r="I98" s="743">
        <f>IF(D94=0,0,D94/D97)</f>
        <v>184333.63888888888</v>
      </c>
      <c r="J98" s="721"/>
      <c r="K98" s="721" t="s">
        <v>168</v>
      </c>
      <c r="L98" s="721"/>
      <c r="M98" s="721"/>
      <c r="N98" s="721"/>
      <c r="O98" s="418"/>
    </row>
    <row r="99" spans="2:15" ht="51">
      <c r="B99" s="836"/>
      <c r="C99" s="766" t="s">
        <v>77</v>
      </c>
      <c r="D99" s="767" t="s">
        <v>88</v>
      </c>
      <c r="E99" s="768" t="s">
        <v>89</v>
      </c>
      <c r="F99" s="767" t="s">
        <v>90</v>
      </c>
      <c r="G99" s="768" t="s">
        <v>161</v>
      </c>
      <c r="H99" s="769" t="s">
        <v>161</v>
      </c>
      <c r="I99" s="766" t="s">
        <v>100</v>
      </c>
      <c r="J99" s="770"/>
      <c r="K99" s="768" t="s">
        <v>170</v>
      </c>
      <c r="L99" s="771"/>
      <c r="M99" s="768" t="s">
        <v>170</v>
      </c>
      <c r="N99" s="771"/>
      <c r="O99" s="771"/>
    </row>
    <row r="100" spans="2:15" ht="13.5" thickBot="1">
      <c r="C100" s="772" t="s">
        <v>477</v>
      </c>
      <c r="D100" s="773" t="s">
        <v>478</v>
      </c>
      <c r="E100" s="772" t="s">
        <v>371</v>
      </c>
      <c r="F100" s="773" t="s">
        <v>478</v>
      </c>
      <c r="G100" s="774" t="s">
        <v>103</v>
      </c>
      <c r="H100" s="775" t="s">
        <v>105</v>
      </c>
      <c r="I100" s="776" t="s">
        <v>17</v>
      </c>
      <c r="J100" s="777"/>
      <c r="K100" s="774" t="s">
        <v>92</v>
      </c>
      <c r="L100" s="778"/>
      <c r="M100" s="774" t="s">
        <v>105</v>
      </c>
      <c r="N100" s="778"/>
      <c r="O100" s="778"/>
    </row>
    <row r="101" spans="2:15">
      <c r="C101" s="779">
        <f>IF(D95= "","-",D95)</f>
        <v>2012</v>
      </c>
      <c r="D101" s="727">
        <f>+D94</f>
        <v>6636011</v>
      </c>
      <c r="E101" s="780">
        <f>+I98/12*(12-D96)</f>
        <v>0</v>
      </c>
      <c r="F101" s="727">
        <f>+D101-E101</f>
        <v>6636011</v>
      </c>
      <c r="G101" s="988">
        <f>+$I$96*((D101+F101)/2)+E101</f>
        <v>762224.55909462599</v>
      </c>
      <c r="H101" s="989">
        <f>$I$97*((D101+F101)/2)+E101</f>
        <v>762224.55909462599</v>
      </c>
      <c r="I101" s="783">
        <f>+H101-G101</f>
        <v>0</v>
      </c>
      <c r="J101" s="783"/>
      <c r="K101" s="802">
        <v>655786</v>
      </c>
      <c r="L101" s="784"/>
      <c r="M101" s="802">
        <v>655786</v>
      </c>
      <c r="N101" s="784"/>
      <c r="O101" s="784"/>
    </row>
    <row r="102" spans="2:15">
      <c r="C102" s="779">
        <f>IF(D95="","-",+C101+1)</f>
        <v>2013</v>
      </c>
      <c r="D102" s="727">
        <f t="shared" ref="D102:D160" si="0">F101</f>
        <v>6636011</v>
      </c>
      <c r="E102" s="780">
        <f>IF(D102&gt;$I$98,$I$98,D102)</f>
        <v>184333.63888888888</v>
      </c>
      <c r="F102" s="727">
        <f t="shared" ref="F102:F160" si="1">+D102-E102</f>
        <v>6451677.361111111</v>
      </c>
      <c r="G102" s="785">
        <f t="shared" ref="G102:G160" si="2">+$I$96*((D102+F102)/2)+E102</f>
        <v>935971.74577386735</v>
      </c>
      <c r="H102" s="786">
        <f t="shared" ref="H102:H160" si="3">$I$97*((D102+F102)/2)+E102</f>
        <v>935971.74577386735</v>
      </c>
      <c r="I102" s="783">
        <f t="shared" ref="I102:I160" si="4">+H102-G102</f>
        <v>0</v>
      </c>
      <c r="J102" s="783"/>
      <c r="K102" s="803">
        <v>758010</v>
      </c>
      <c r="L102" s="787"/>
      <c r="M102" s="803">
        <v>758010</v>
      </c>
      <c r="N102" s="787"/>
      <c r="O102" s="787"/>
    </row>
    <row r="103" spans="2:15">
      <c r="C103" s="779">
        <f>IF(D95="","-",+C102+1)</f>
        <v>2014</v>
      </c>
      <c r="D103" s="727">
        <f t="shared" si="0"/>
        <v>6451677.361111111</v>
      </c>
      <c r="E103" s="780">
        <f t="shared" ref="E103:E160" si="5">IF(D103&gt;$I$98,$I$98,D103)</f>
        <v>184333.63888888888</v>
      </c>
      <c r="F103" s="727">
        <f t="shared" si="1"/>
        <v>6267343.722222222</v>
      </c>
      <c r="G103" s="785">
        <f t="shared" si="2"/>
        <v>914798.8413545721</v>
      </c>
      <c r="H103" s="786">
        <f t="shared" si="3"/>
        <v>914798.8413545721</v>
      </c>
      <c r="I103" s="783">
        <f t="shared" si="4"/>
        <v>0</v>
      </c>
      <c r="J103" s="783"/>
      <c r="K103" s="803">
        <v>735370</v>
      </c>
      <c r="L103" s="787"/>
      <c r="M103" s="803">
        <v>735370</v>
      </c>
      <c r="N103" s="787"/>
      <c r="O103" s="787"/>
    </row>
    <row r="104" spans="2:15">
      <c r="C104" s="779">
        <f>IF(D95="","-",+C103+1)</f>
        <v>2015</v>
      </c>
      <c r="D104" s="727">
        <f t="shared" si="0"/>
        <v>6267343.722222222</v>
      </c>
      <c r="E104" s="780">
        <f t="shared" si="5"/>
        <v>184333.63888888888</v>
      </c>
      <c r="F104" s="727">
        <f t="shared" si="1"/>
        <v>6083010.083333333</v>
      </c>
      <c r="G104" s="785">
        <f t="shared" si="2"/>
        <v>893625.93693527696</v>
      </c>
      <c r="H104" s="786">
        <f t="shared" si="3"/>
        <v>893625.93693527696</v>
      </c>
      <c r="I104" s="783">
        <f t="shared" si="4"/>
        <v>0</v>
      </c>
      <c r="J104" s="783"/>
      <c r="K104" s="803">
        <v>1351122</v>
      </c>
      <c r="L104" s="787"/>
      <c r="M104" s="803">
        <v>1351122</v>
      </c>
      <c r="N104" s="787"/>
      <c r="O104" s="787"/>
    </row>
    <row r="105" spans="2:15">
      <c r="C105" s="779">
        <f>IF(D95="","-",+C104+1)</f>
        <v>2016</v>
      </c>
      <c r="D105" s="727">
        <f t="shared" si="0"/>
        <v>6083010.083333333</v>
      </c>
      <c r="E105" s="780">
        <f t="shared" si="5"/>
        <v>184333.63888888888</v>
      </c>
      <c r="F105" s="727">
        <f t="shared" si="1"/>
        <v>5898676.444444444</v>
      </c>
      <c r="G105" s="785">
        <f t="shared" si="2"/>
        <v>872453.0325159817</v>
      </c>
      <c r="H105" s="786">
        <f t="shared" si="3"/>
        <v>872453.0325159817</v>
      </c>
      <c r="I105" s="783">
        <f t="shared" si="4"/>
        <v>0</v>
      </c>
      <c r="J105" s="783"/>
      <c r="K105" s="803">
        <v>758565</v>
      </c>
      <c r="L105" s="787"/>
      <c r="M105" s="803">
        <v>758565</v>
      </c>
      <c r="N105" s="787"/>
      <c r="O105" s="787"/>
    </row>
    <row r="106" spans="2:15">
      <c r="C106" s="1299">
        <f>IF(D95="","-",+C105+1)</f>
        <v>2017</v>
      </c>
      <c r="D106" s="727">
        <f t="shared" si="0"/>
        <v>5898676.444444444</v>
      </c>
      <c r="E106" s="780">
        <f t="shared" si="5"/>
        <v>184333.63888888888</v>
      </c>
      <c r="F106" s="727">
        <f t="shared" si="1"/>
        <v>5714342.805555555</v>
      </c>
      <c r="G106" s="785">
        <f t="shared" si="2"/>
        <v>851280.12809668668</v>
      </c>
      <c r="H106" s="786">
        <f t="shared" si="3"/>
        <v>851280.12809668668</v>
      </c>
      <c r="I106" s="783">
        <f t="shared" si="4"/>
        <v>0</v>
      </c>
      <c r="J106" s="783"/>
      <c r="K106" s="803">
        <v>1860187</v>
      </c>
      <c r="L106" s="787"/>
      <c r="M106" s="803">
        <v>1860187</v>
      </c>
      <c r="N106" s="787"/>
      <c r="O106" s="787"/>
    </row>
    <row r="107" spans="2:15">
      <c r="C107" s="1318">
        <f>IF(D95="","-",+C106+1)</f>
        <v>2018</v>
      </c>
      <c r="D107" s="727">
        <f t="shared" si="0"/>
        <v>5714342.805555555</v>
      </c>
      <c r="E107" s="780">
        <f t="shared" si="5"/>
        <v>184333.63888888888</v>
      </c>
      <c r="F107" s="727">
        <f t="shared" si="1"/>
        <v>5530009.166666666</v>
      </c>
      <c r="G107" s="785">
        <f t="shared" si="2"/>
        <v>830107.2236773913</v>
      </c>
      <c r="H107" s="786">
        <f t="shared" si="3"/>
        <v>830107.2236773913</v>
      </c>
      <c r="I107" s="783">
        <f t="shared" si="4"/>
        <v>0</v>
      </c>
      <c r="J107" s="783"/>
      <c r="K107" s="803">
        <v>1592956</v>
      </c>
      <c r="L107" s="787"/>
      <c r="M107" s="803">
        <v>1592956</v>
      </c>
      <c r="N107" s="787"/>
      <c r="O107" s="787"/>
    </row>
    <row r="108" spans="2:15">
      <c r="C108" s="1298">
        <f>IF(D95="","-",+C107+1)</f>
        <v>2019</v>
      </c>
      <c r="D108" s="727">
        <f t="shared" si="0"/>
        <v>5530009.166666666</v>
      </c>
      <c r="E108" s="780">
        <f t="shared" si="5"/>
        <v>184333.63888888888</v>
      </c>
      <c r="F108" s="727">
        <f t="shared" si="1"/>
        <v>5345675.5277777771</v>
      </c>
      <c r="G108" s="785">
        <f t="shared" si="2"/>
        <v>808934.31925809628</v>
      </c>
      <c r="H108" s="786">
        <f t="shared" si="3"/>
        <v>808934.31925809628</v>
      </c>
      <c r="I108" s="783">
        <f t="shared" si="4"/>
        <v>0</v>
      </c>
      <c r="J108" s="783"/>
      <c r="K108" s="803"/>
      <c r="L108" s="787"/>
      <c r="M108" s="803"/>
      <c r="N108" s="787"/>
      <c r="O108" s="787"/>
    </row>
    <row r="109" spans="2:15">
      <c r="C109" s="779">
        <f>IF(D95="","-",+C108+1)</f>
        <v>2020</v>
      </c>
      <c r="D109" s="727">
        <f t="shared" si="0"/>
        <v>5345675.5277777771</v>
      </c>
      <c r="E109" s="780">
        <f t="shared" si="5"/>
        <v>184333.63888888888</v>
      </c>
      <c r="F109" s="727">
        <f t="shared" si="1"/>
        <v>5161341.8888888881</v>
      </c>
      <c r="G109" s="785">
        <f t="shared" si="2"/>
        <v>787761.41483880102</v>
      </c>
      <c r="H109" s="786">
        <f t="shared" si="3"/>
        <v>787761.41483880102</v>
      </c>
      <c r="I109" s="783">
        <f t="shared" si="4"/>
        <v>0</v>
      </c>
      <c r="J109" s="783"/>
      <c r="K109" s="803"/>
      <c r="L109" s="787"/>
      <c r="M109" s="803"/>
      <c r="N109" s="787"/>
      <c r="O109" s="787"/>
    </row>
    <row r="110" spans="2:15">
      <c r="C110" s="779">
        <f>IF(D95="","-",+C109+1)</f>
        <v>2021</v>
      </c>
      <c r="D110" s="727">
        <f t="shared" si="0"/>
        <v>5161341.8888888881</v>
      </c>
      <c r="E110" s="780">
        <f t="shared" si="5"/>
        <v>184333.63888888888</v>
      </c>
      <c r="F110" s="727">
        <f t="shared" si="1"/>
        <v>4977008.2499999991</v>
      </c>
      <c r="G110" s="785">
        <f t="shared" si="2"/>
        <v>766588.51041950588</v>
      </c>
      <c r="H110" s="786">
        <f t="shared" si="3"/>
        <v>766588.51041950588</v>
      </c>
      <c r="I110" s="783">
        <f t="shared" si="4"/>
        <v>0</v>
      </c>
      <c r="J110" s="783"/>
      <c r="K110" s="803"/>
      <c r="L110" s="787"/>
      <c r="M110" s="803"/>
      <c r="N110" s="787"/>
      <c r="O110" s="787"/>
    </row>
    <row r="111" spans="2:15">
      <c r="C111" s="779">
        <f>IF(D95="","-",+C110+1)</f>
        <v>2022</v>
      </c>
      <c r="D111" s="727">
        <f t="shared" si="0"/>
        <v>4977008.2499999991</v>
      </c>
      <c r="E111" s="780">
        <f t="shared" si="5"/>
        <v>184333.63888888888</v>
      </c>
      <c r="F111" s="727">
        <f t="shared" si="1"/>
        <v>4792674.6111111101</v>
      </c>
      <c r="G111" s="785">
        <f t="shared" si="2"/>
        <v>745415.60600021062</v>
      </c>
      <c r="H111" s="786">
        <f t="shared" si="3"/>
        <v>745415.60600021062</v>
      </c>
      <c r="I111" s="783">
        <f t="shared" si="4"/>
        <v>0</v>
      </c>
      <c r="J111" s="783"/>
      <c r="K111" s="803"/>
      <c r="L111" s="787"/>
      <c r="M111" s="803"/>
      <c r="N111" s="787"/>
      <c r="O111" s="787"/>
    </row>
    <row r="112" spans="2:15">
      <c r="C112" s="779">
        <f>IF(D95="","-",+C111+1)</f>
        <v>2023</v>
      </c>
      <c r="D112" s="727">
        <f t="shared" si="0"/>
        <v>4792674.6111111101</v>
      </c>
      <c r="E112" s="780">
        <f t="shared" si="5"/>
        <v>184333.63888888888</v>
      </c>
      <c r="F112" s="727">
        <f t="shared" si="1"/>
        <v>4608340.9722222211</v>
      </c>
      <c r="G112" s="785">
        <f t="shared" si="2"/>
        <v>724242.7015809156</v>
      </c>
      <c r="H112" s="786">
        <f t="shared" si="3"/>
        <v>724242.7015809156</v>
      </c>
      <c r="I112" s="783">
        <f t="shared" si="4"/>
        <v>0</v>
      </c>
      <c r="J112" s="783"/>
      <c r="K112" s="803"/>
      <c r="L112" s="787"/>
      <c r="M112" s="803"/>
      <c r="N112" s="787"/>
      <c r="O112" s="787"/>
    </row>
    <row r="113" spans="3:15">
      <c r="C113" s="779">
        <f>IF(D95="","-",+C112+1)</f>
        <v>2024</v>
      </c>
      <c r="D113" s="727">
        <f t="shared" si="0"/>
        <v>4608340.9722222211</v>
      </c>
      <c r="E113" s="780">
        <f t="shared" si="5"/>
        <v>184333.63888888888</v>
      </c>
      <c r="F113" s="727">
        <f t="shared" si="1"/>
        <v>4424007.3333333321</v>
      </c>
      <c r="G113" s="785">
        <f t="shared" si="2"/>
        <v>703069.79716162034</v>
      </c>
      <c r="H113" s="786">
        <f t="shared" si="3"/>
        <v>703069.79716162034</v>
      </c>
      <c r="I113" s="783">
        <f t="shared" si="4"/>
        <v>0</v>
      </c>
      <c r="J113" s="783"/>
      <c r="K113" s="803"/>
      <c r="L113" s="787"/>
      <c r="M113" s="803"/>
      <c r="N113" s="788"/>
      <c r="O113" s="787"/>
    </row>
    <row r="114" spans="3:15">
      <c r="C114" s="779">
        <f>IF(D95="","-",+C113+1)</f>
        <v>2025</v>
      </c>
      <c r="D114" s="727">
        <f t="shared" si="0"/>
        <v>4424007.3333333321</v>
      </c>
      <c r="E114" s="780">
        <f t="shared" si="5"/>
        <v>184333.63888888888</v>
      </c>
      <c r="F114" s="727">
        <f t="shared" si="1"/>
        <v>4239673.6944444431</v>
      </c>
      <c r="G114" s="785">
        <f t="shared" si="2"/>
        <v>681896.8927423252</v>
      </c>
      <c r="H114" s="786">
        <f t="shared" si="3"/>
        <v>681896.8927423252</v>
      </c>
      <c r="I114" s="783">
        <f t="shared" si="4"/>
        <v>0</v>
      </c>
      <c r="J114" s="783"/>
      <c r="K114" s="803"/>
      <c r="L114" s="787"/>
      <c r="M114" s="803"/>
      <c r="N114" s="787"/>
      <c r="O114" s="787"/>
    </row>
    <row r="115" spans="3:15">
      <c r="C115" s="779">
        <f>IF(D95="","-",+C114+1)</f>
        <v>2026</v>
      </c>
      <c r="D115" s="727">
        <f t="shared" si="0"/>
        <v>4239673.6944444431</v>
      </c>
      <c r="E115" s="780">
        <f t="shared" si="5"/>
        <v>184333.63888888888</v>
      </c>
      <c r="F115" s="727">
        <f t="shared" si="1"/>
        <v>4055340.0555555541</v>
      </c>
      <c r="G115" s="785">
        <f t="shared" si="2"/>
        <v>660723.98832302995</v>
      </c>
      <c r="H115" s="786">
        <f t="shared" si="3"/>
        <v>660723.98832302995</v>
      </c>
      <c r="I115" s="783">
        <f t="shared" si="4"/>
        <v>0</v>
      </c>
      <c r="J115" s="783"/>
      <c r="K115" s="803"/>
      <c r="L115" s="787"/>
      <c r="M115" s="803"/>
      <c r="N115" s="787"/>
      <c r="O115" s="787"/>
    </row>
    <row r="116" spans="3:15">
      <c r="C116" s="779">
        <f>IF(D95="","-",+C115+1)</f>
        <v>2027</v>
      </c>
      <c r="D116" s="727">
        <f t="shared" si="0"/>
        <v>4055340.0555555541</v>
      </c>
      <c r="E116" s="780">
        <f t="shared" si="5"/>
        <v>184333.63888888888</v>
      </c>
      <c r="F116" s="727">
        <f t="shared" si="1"/>
        <v>3871006.4166666651</v>
      </c>
      <c r="G116" s="785">
        <f t="shared" si="2"/>
        <v>639551.08390373481</v>
      </c>
      <c r="H116" s="786">
        <f t="shared" si="3"/>
        <v>639551.08390373481</v>
      </c>
      <c r="I116" s="783">
        <f t="shared" si="4"/>
        <v>0</v>
      </c>
      <c r="J116" s="783"/>
      <c r="K116" s="803"/>
      <c r="L116" s="787"/>
      <c r="M116" s="803"/>
      <c r="N116" s="787"/>
      <c r="O116" s="787"/>
    </row>
    <row r="117" spans="3:15">
      <c r="C117" s="779">
        <f>IF(D95="","-",+C116+1)</f>
        <v>2028</v>
      </c>
      <c r="D117" s="727">
        <f t="shared" si="0"/>
        <v>3871006.4166666651</v>
      </c>
      <c r="E117" s="780">
        <f t="shared" si="5"/>
        <v>184333.63888888888</v>
      </c>
      <c r="F117" s="727">
        <f t="shared" si="1"/>
        <v>3686672.7777777761</v>
      </c>
      <c r="G117" s="785">
        <f t="shared" si="2"/>
        <v>618378.17948443955</v>
      </c>
      <c r="H117" s="786">
        <f t="shared" si="3"/>
        <v>618378.17948443955</v>
      </c>
      <c r="I117" s="783">
        <f t="shared" si="4"/>
        <v>0</v>
      </c>
      <c r="J117" s="783"/>
      <c r="K117" s="803"/>
      <c r="L117" s="787"/>
      <c r="M117" s="803"/>
      <c r="N117" s="787"/>
      <c r="O117" s="787"/>
    </row>
    <row r="118" spans="3:15">
      <c r="C118" s="779">
        <f>IF(D95="","-",+C117+1)</f>
        <v>2029</v>
      </c>
      <c r="D118" s="727">
        <f t="shared" si="0"/>
        <v>3686672.7777777761</v>
      </c>
      <c r="E118" s="780">
        <f t="shared" si="5"/>
        <v>184333.63888888888</v>
      </c>
      <c r="F118" s="727">
        <f t="shared" si="1"/>
        <v>3502339.1388888871</v>
      </c>
      <c r="G118" s="785">
        <f t="shared" si="2"/>
        <v>597205.27506514441</v>
      </c>
      <c r="H118" s="786">
        <f t="shared" si="3"/>
        <v>597205.27506514441</v>
      </c>
      <c r="I118" s="783">
        <f t="shared" si="4"/>
        <v>0</v>
      </c>
      <c r="J118" s="783"/>
      <c r="K118" s="803"/>
      <c r="L118" s="787"/>
      <c r="M118" s="803"/>
      <c r="N118" s="787"/>
      <c r="O118" s="787"/>
    </row>
    <row r="119" spans="3:15">
      <c r="C119" s="779">
        <f>IF(D95="","-",+C118+1)</f>
        <v>2030</v>
      </c>
      <c r="D119" s="727">
        <f t="shared" si="0"/>
        <v>3502339.1388888871</v>
      </c>
      <c r="E119" s="780">
        <f t="shared" si="5"/>
        <v>184333.63888888888</v>
      </c>
      <c r="F119" s="727">
        <f t="shared" si="1"/>
        <v>3318005.4999999981</v>
      </c>
      <c r="G119" s="785">
        <f t="shared" si="2"/>
        <v>576032.37064584927</v>
      </c>
      <c r="H119" s="786">
        <f t="shared" si="3"/>
        <v>576032.37064584927</v>
      </c>
      <c r="I119" s="783">
        <f t="shared" si="4"/>
        <v>0</v>
      </c>
      <c r="J119" s="783"/>
      <c r="K119" s="803"/>
      <c r="L119" s="787"/>
      <c r="M119" s="803"/>
      <c r="N119" s="787"/>
      <c r="O119" s="787"/>
    </row>
    <row r="120" spans="3:15">
      <c r="C120" s="779">
        <f>IF(D95="","-",+C119+1)</f>
        <v>2031</v>
      </c>
      <c r="D120" s="727">
        <f t="shared" si="0"/>
        <v>3318005.4999999981</v>
      </c>
      <c r="E120" s="780">
        <f t="shared" si="5"/>
        <v>184333.63888888888</v>
      </c>
      <c r="F120" s="727">
        <f t="shared" si="1"/>
        <v>3133671.8611111091</v>
      </c>
      <c r="G120" s="785">
        <f t="shared" si="2"/>
        <v>554859.46622655401</v>
      </c>
      <c r="H120" s="786">
        <f t="shared" si="3"/>
        <v>554859.46622655401</v>
      </c>
      <c r="I120" s="783">
        <f t="shared" si="4"/>
        <v>0</v>
      </c>
      <c r="J120" s="783"/>
      <c r="K120" s="803"/>
      <c r="L120" s="787"/>
      <c r="M120" s="803"/>
      <c r="N120" s="787"/>
      <c r="O120" s="787"/>
    </row>
    <row r="121" spans="3:15">
      <c r="C121" s="779">
        <f>IF(D95="","-",+C120+1)</f>
        <v>2032</v>
      </c>
      <c r="D121" s="727">
        <f t="shared" si="0"/>
        <v>3133671.8611111091</v>
      </c>
      <c r="E121" s="780">
        <f t="shared" si="5"/>
        <v>184333.63888888888</v>
      </c>
      <c r="F121" s="727">
        <f t="shared" si="1"/>
        <v>2949338.2222222202</v>
      </c>
      <c r="G121" s="785">
        <f t="shared" si="2"/>
        <v>533686.56180725887</v>
      </c>
      <c r="H121" s="786">
        <f t="shared" si="3"/>
        <v>533686.56180725887</v>
      </c>
      <c r="I121" s="783">
        <f t="shared" si="4"/>
        <v>0</v>
      </c>
      <c r="J121" s="783"/>
      <c r="K121" s="803"/>
      <c r="L121" s="787"/>
      <c r="M121" s="803"/>
      <c r="N121" s="787"/>
      <c r="O121" s="787"/>
    </row>
    <row r="122" spans="3:15">
      <c r="C122" s="779">
        <f>IF(D95="","-",+C121+1)</f>
        <v>2033</v>
      </c>
      <c r="D122" s="727">
        <f t="shared" si="0"/>
        <v>2949338.2222222202</v>
      </c>
      <c r="E122" s="780">
        <f t="shared" si="5"/>
        <v>184333.63888888888</v>
      </c>
      <c r="F122" s="727">
        <f t="shared" si="1"/>
        <v>2765004.5833333312</v>
      </c>
      <c r="G122" s="785">
        <f t="shared" si="2"/>
        <v>512513.65738796373</v>
      </c>
      <c r="H122" s="786">
        <f t="shared" si="3"/>
        <v>512513.65738796373</v>
      </c>
      <c r="I122" s="783">
        <f t="shared" si="4"/>
        <v>0</v>
      </c>
      <c r="J122" s="783"/>
      <c r="K122" s="803"/>
      <c r="L122" s="787"/>
      <c r="M122" s="803"/>
      <c r="N122" s="787"/>
      <c r="O122" s="787"/>
    </row>
    <row r="123" spans="3:15">
      <c r="C123" s="779">
        <f>IF(D95="","-",+C122+1)</f>
        <v>2034</v>
      </c>
      <c r="D123" s="727">
        <f t="shared" si="0"/>
        <v>2765004.5833333312</v>
      </c>
      <c r="E123" s="780">
        <f t="shared" si="5"/>
        <v>184333.63888888888</v>
      </c>
      <c r="F123" s="727">
        <f t="shared" si="1"/>
        <v>2580670.9444444422</v>
      </c>
      <c r="G123" s="785">
        <f t="shared" si="2"/>
        <v>491340.75296866853</v>
      </c>
      <c r="H123" s="786">
        <f t="shared" si="3"/>
        <v>491340.75296866853</v>
      </c>
      <c r="I123" s="783">
        <f t="shared" si="4"/>
        <v>0</v>
      </c>
      <c r="J123" s="783"/>
      <c r="K123" s="803"/>
      <c r="L123" s="787"/>
      <c r="M123" s="803"/>
      <c r="N123" s="787"/>
      <c r="O123" s="787"/>
    </row>
    <row r="124" spans="3:15">
      <c r="C124" s="779">
        <f>IF(D95="","-",+C123+1)</f>
        <v>2035</v>
      </c>
      <c r="D124" s="727">
        <f t="shared" si="0"/>
        <v>2580670.9444444422</v>
      </c>
      <c r="E124" s="780">
        <f t="shared" si="5"/>
        <v>184333.63888888888</v>
      </c>
      <c r="F124" s="727">
        <f t="shared" si="1"/>
        <v>2396337.3055555532</v>
      </c>
      <c r="G124" s="785">
        <f t="shared" si="2"/>
        <v>470167.84854937333</v>
      </c>
      <c r="H124" s="786">
        <f t="shared" si="3"/>
        <v>470167.84854937333</v>
      </c>
      <c r="I124" s="783">
        <f t="shared" si="4"/>
        <v>0</v>
      </c>
      <c r="J124" s="783"/>
      <c r="K124" s="803"/>
      <c r="L124" s="787"/>
      <c r="M124" s="803"/>
      <c r="N124" s="787"/>
      <c r="O124" s="787"/>
    </row>
    <row r="125" spans="3:15">
      <c r="C125" s="779">
        <f>IF(D95="","-",+C124+1)</f>
        <v>2036</v>
      </c>
      <c r="D125" s="727">
        <f t="shared" si="0"/>
        <v>2396337.3055555532</v>
      </c>
      <c r="E125" s="780">
        <f t="shared" si="5"/>
        <v>184333.63888888888</v>
      </c>
      <c r="F125" s="727">
        <f t="shared" si="1"/>
        <v>2212003.6666666642</v>
      </c>
      <c r="G125" s="785">
        <f t="shared" si="2"/>
        <v>448994.94413007819</v>
      </c>
      <c r="H125" s="786">
        <f t="shared" si="3"/>
        <v>448994.94413007819</v>
      </c>
      <c r="I125" s="783">
        <f t="shared" si="4"/>
        <v>0</v>
      </c>
      <c r="J125" s="783"/>
      <c r="K125" s="803"/>
      <c r="L125" s="787"/>
      <c r="M125" s="803"/>
      <c r="N125" s="787"/>
      <c r="O125" s="787"/>
    </row>
    <row r="126" spans="3:15">
      <c r="C126" s="779">
        <f>IF(D95="","-",+C125+1)</f>
        <v>2037</v>
      </c>
      <c r="D126" s="727">
        <f t="shared" si="0"/>
        <v>2212003.6666666642</v>
      </c>
      <c r="E126" s="780">
        <f t="shared" si="5"/>
        <v>184333.63888888888</v>
      </c>
      <c r="F126" s="727">
        <f t="shared" si="1"/>
        <v>2027670.0277777752</v>
      </c>
      <c r="G126" s="785">
        <f t="shared" si="2"/>
        <v>427822.03971078299</v>
      </c>
      <c r="H126" s="786">
        <f t="shared" si="3"/>
        <v>427822.03971078299</v>
      </c>
      <c r="I126" s="783">
        <f t="shared" si="4"/>
        <v>0</v>
      </c>
      <c r="J126" s="783"/>
      <c r="K126" s="803"/>
      <c r="L126" s="787"/>
      <c r="M126" s="803"/>
      <c r="N126" s="787"/>
      <c r="O126" s="787"/>
    </row>
    <row r="127" spans="3:15">
      <c r="C127" s="779">
        <f>IF(D95="","-",+C126+1)</f>
        <v>2038</v>
      </c>
      <c r="D127" s="727">
        <f t="shared" si="0"/>
        <v>2027670.0277777752</v>
      </c>
      <c r="E127" s="780">
        <f t="shared" si="5"/>
        <v>184333.63888888888</v>
      </c>
      <c r="F127" s="727">
        <f t="shared" si="1"/>
        <v>1843336.3888888862</v>
      </c>
      <c r="G127" s="785">
        <f t="shared" si="2"/>
        <v>406649.13529148779</v>
      </c>
      <c r="H127" s="786">
        <f t="shared" si="3"/>
        <v>406649.13529148779</v>
      </c>
      <c r="I127" s="783">
        <f t="shared" si="4"/>
        <v>0</v>
      </c>
      <c r="J127" s="783"/>
      <c r="K127" s="803"/>
      <c r="L127" s="787"/>
      <c r="M127" s="803"/>
      <c r="N127" s="787"/>
      <c r="O127" s="787"/>
    </row>
    <row r="128" spans="3:15">
      <c r="C128" s="779">
        <f>IF(D95="","-",+C127+1)</f>
        <v>2039</v>
      </c>
      <c r="D128" s="727">
        <f t="shared" si="0"/>
        <v>1843336.3888888862</v>
      </c>
      <c r="E128" s="780">
        <f t="shared" si="5"/>
        <v>184333.63888888888</v>
      </c>
      <c r="F128" s="727">
        <f t="shared" si="1"/>
        <v>1659002.7499999972</v>
      </c>
      <c r="G128" s="785">
        <f t="shared" si="2"/>
        <v>385476.23087219265</v>
      </c>
      <c r="H128" s="786">
        <f t="shared" si="3"/>
        <v>385476.23087219265</v>
      </c>
      <c r="I128" s="783">
        <f t="shared" si="4"/>
        <v>0</v>
      </c>
      <c r="J128" s="783"/>
      <c r="K128" s="803"/>
      <c r="L128" s="787"/>
      <c r="M128" s="803"/>
      <c r="N128" s="787"/>
      <c r="O128" s="787"/>
    </row>
    <row r="129" spans="3:15">
      <c r="C129" s="779">
        <f>IF(D95="","-",+C128+1)</f>
        <v>2040</v>
      </c>
      <c r="D129" s="727">
        <f t="shared" si="0"/>
        <v>1659002.7499999972</v>
      </c>
      <c r="E129" s="780">
        <f t="shared" si="5"/>
        <v>184333.63888888888</v>
      </c>
      <c r="F129" s="727">
        <f t="shared" si="1"/>
        <v>1474669.1111111082</v>
      </c>
      <c r="G129" s="781">
        <f t="shared" si="2"/>
        <v>364303.32645289745</v>
      </c>
      <c r="H129" s="786">
        <f t="shared" si="3"/>
        <v>364303.32645289745</v>
      </c>
      <c r="I129" s="783">
        <f t="shared" si="4"/>
        <v>0</v>
      </c>
      <c r="J129" s="783"/>
      <c r="K129" s="803"/>
      <c r="L129" s="787"/>
      <c r="M129" s="803"/>
      <c r="N129" s="787"/>
      <c r="O129" s="787"/>
    </row>
    <row r="130" spans="3:15">
      <c r="C130" s="779">
        <f>IF(D95="","-",+C129+1)</f>
        <v>2041</v>
      </c>
      <c r="D130" s="727">
        <f t="shared" si="0"/>
        <v>1474669.1111111082</v>
      </c>
      <c r="E130" s="780">
        <f t="shared" si="5"/>
        <v>184333.63888888888</v>
      </c>
      <c r="F130" s="727">
        <f t="shared" si="1"/>
        <v>1290335.4722222192</v>
      </c>
      <c r="G130" s="785">
        <f t="shared" si="2"/>
        <v>343130.42203360226</v>
      </c>
      <c r="H130" s="786">
        <f t="shared" si="3"/>
        <v>343130.42203360226</v>
      </c>
      <c r="I130" s="783">
        <f t="shared" si="4"/>
        <v>0</v>
      </c>
      <c r="J130" s="783"/>
      <c r="K130" s="803"/>
      <c r="L130" s="787"/>
      <c r="M130" s="803"/>
      <c r="N130" s="787"/>
      <c r="O130" s="787"/>
    </row>
    <row r="131" spans="3:15">
      <c r="C131" s="779">
        <f>IF(D95="","-",+C130+1)</f>
        <v>2042</v>
      </c>
      <c r="D131" s="727">
        <f t="shared" si="0"/>
        <v>1290335.4722222192</v>
      </c>
      <c r="E131" s="780">
        <f t="shared" si="5"/>
        <v>184333.63888888888</v>
      </c>
      <c r="F131" s="727">
        <f t="shared" si="1"/>
        <v>1106001.8333333302</v>
      </c>
      <c r="G131" s="785">
        <f t="shared" si="2"/>
        <v>321957.51761430711</v>
      </c>
      <c r="H131" s="786">
        <f t="shared" si="3"/>
        <v>321957.51761430711</v>
      </c>
      <c r="I131" s="783">
        <f t="shared" si="4"/>
        <v>0</v>
      </c>
      <c r="J131" s="783"/>
      <c r="K131" s="803"/>
      <c r="L131" s="787"/>
      <c r="M131" s="803"/>
      <c r="N131" s="787"/>
      <c r="O131" s="787"/>
    </row>
    <row r="132" spans="3:15">
      <c r="C132" s="779">
        <f>IF(D95="","-",+C131+1)</f>
        <v>2043</v>
      </c>
      <c r="D132" s="727">
        <f t="shared" si="0"/>
        <v>1106001.8333333302</v>
      </c>
      <c r="E132" s="780">
        <f t="shared" si="5"/>
        <v>184333.63888888888</v>
      </c>
      <c r="F132" s="727">
        <f t="shared" si="1"/>
        <v>921668.19444444135</v>
      </c>
      <c r="G132" s="785">
        <f t="shared" si="2"/>
        <v>300784.61319501192</v>
      </c>
      <c r="H132" s="786">
        <f t="shared" si="3"/>
        <v>300784.61319501192</v>
      </c>
      <c r="I132" s="783">
        <f t="shared" si="4"/>
        <v>0</v>
      </c>
      <c r="J132" s="783"/>
      <c r="K132" s="803"/>
      <c r="L132" s="787"/>
      <c r="M132" s="803"/>
      <c r="N132" s="787"/>
      <c r="O132" s="787"/>
    </row>
    <row r="133" spans="3:15">
      <c r="C133" s="779">
        <f>IF(D95="","-",+C132+1)</f>
        <v>2044</v>
      </c>
      <c r="D133" s="727">
        <f t="shared" si="0"/>
        <v>921668.19444444135</v>
      </c>
      <c r="E133" s="780">
        <f t="shared" si="5"/>
        <v>184333.63888888888</v>
      </c>
      <c r="F133" s="727">
        <f t="shared" si="1"/>
        <v>737334.55555555248</v>
      </c>
      <c r="G133" s="785">
        <f t="shared" si="2"/>
        <v>279611.70877571678</v>
      </c>
      <c r="H133" s="786">
        <f t="shared" si="3"/>
        <v>279611.70877571678</v>
      </c>
      <c r="I133" s="783">
        <f t="shared" si="4"/>
        <v>0</v>
      </c>
      <c r="J133" s="783"/>
      <c r="K133" s="803"/>
      <c r="L133" s="787"/>
      <c r="M133" s="803"/>
      <c r="N133" s="787"/>
      <c r="O133" s="787"/>
    </row>
    <row r="134" spans="3:15">
      <c r="C134" s="779">
        <f>IF(D95="","-",+C133+1)</f>
        <v>2045</v>
      </c>
      <c r="D134" s="727">
        <f t="shared" si="0"/>
        <v>737334.55555555248</v>
      </c>
      <c r="E134" s="780">
        <f t="shared" si="5"/>
        <v>184333.63888888888</v>
      </c>
      <c r="F134" s="727">
        <f t="shared" si="1"/>
        <v>553000.9166666636</v>
      </c>
      <c r="G134" s="785">
        <f t="shared" si="2"/>
        <v>258438.80435642161</v>
      </c>
      <c r="H134" s="786">
        <f t="shared" si="3"/>
        <v>258438.80435642161</v>
      </c>
      <c r="I134" s="783">
        <f t="shared" si="4"/>
        <v>0</v>
      </c>
      <c r="J134" s="783"/>
      <c r="K134" s="803"/>
      <c r="L134" s="787"/>
      <c r="M134" s="803"/>
      <c r="N134" s="787"/>
      <c r="O134" s="787"/>
    </row>
    <row r="135" spans="3:15">
      <c r="C135" s="779">
        <f>IF(D95="","-",+C134+1)</f>
        <v>2046</v>
      </c>
      <c r="D135" s="727">
        <f t="shared" si="0"/>
        <v>553000.9166666636</v>
      </c>
      <c r="E135" s="780">
        <f t="shared" si="5"/>
        <v>184333.63888888888</v>
      </c>
      <c r="F135" s="727">
        <f t="shared" si="1"/>
        <v>368667.27777777473</v>
      </c>
      <c r="G135" s="785">
        <f t="shared" si="2"/>
        <v>237265.89993712644</v>
      </c>
      <c r="H135" s="786">
        <f t="shared" si="3"/>
        <v>237265.89993712644</v>
      </c>
      <c r="I135" s="783">
        <f t="shared" si="4"/>
        <v>0</v>
      </c>
      <c r="J135" s="783"/>
      <c r="K135" s="803"/>
      <c r="L135" s="787"/>
      <c r="M135" s="803"/>
      <c r="N135" s="787"/>
      <c r="O135" s="787"/>
    </row>
    <row r="136" spans="3:15">
      <c r="C136" s="779">
        <f>IF(D95="","-",+C135+1)</f>
        <v>2047</v>
      </c>
      <c r="D136" s="727">
        <f t="shared" si="0"/>
        <v>368667.27777777473</v>
      </c>
      <c r="E136" s="780">
        <f t="shared" si="5"/>
        <v>184333.63888888888</v>
      </c>
      <c r="F136" s="727">
        <f t="shared" si="1"/>
        <v>184333.63888888585</v>
      </c>
      <c r="G136" s="785">
        <f t="shared" si="2"/>
        <v>216092.99551783127</v>
      </c>
      <c r="H136" s="786">
        <f t="shared" si="3"/>
        <v>216092.99551783127</v>
      </c>
      <c r="I136" s="783">
        <f t="shared" si="4"/>
        <v>0</v>
      </c>
      <c r="J136" s="783"/>
      <c r="K136" s="803"/>
      <c r="L136" s="787"/>
      <c r="M136" s="803"/>
      <c r="N136" s="787"/>
      <c r="O136" s="787"/>
    </row>
    <row r="137" spans="3:15">
      <c r="C137" s="779">
        <f>IF(D95="","-",+C136+1)</f>
        <v>2048</v>
      </c>
      <c r="D137" s="727">
        <f t="shared" si="0"/>
        <v>184333.63888888585</v>
      </c>
      <c r="E137" s="780">
        <f t="shared" si="5"/>
        <v>184333.63888888585</v>
      </c>
      <c r="F137" s="727">
        <f t="shared" si="1"/>
        <v>0</v>
      </c>
      <c r="G137" s="785">
        <f t="shared" si="2"/>
        <v>194920.09109853324</v>
      </c>
      <c r="H137" s="786">
        <f t="shared" si="3"/>
        <v>194920.09109853324</v>
      </c>
      <c r="I137" s="783">
        <f t="shared" si="4"/>
        <v>0</v>
      </c>
      <c r="J137" s="783"/>
      <c r="K137" s="803"/>
      <c r="L137" s="787"/>
      <c r="M137" s="803"/>
      <c r="N137" s="787"/>
      <c r="O137" s="787"/>
    </row>
    <row r="138" spans="3:15">
      <c r="C138" s="779">
        <f>IF(D95="","-",+C137+1)</f>
        <v>2049</v>
      </c>
      <c r="D138" s="727">
        <f t="shared" si="0"/>
        <v>0</v>
      </c>
      <c r="E138" s="780">
        <f t="shared" si="5"/>
        <v>0</v>
      </c>
      <c r="F138" s="727">
        <f t="shared" si="1"/>
        <v>0</v>
      </c>
      <c r="G138" s="785">
        <f t="shared" si="2"/>
        <v>0</v>
      </c>
      <c r="H138" s="786">
        <f t="shared" si="3"/>
        <v>0</v>
      </c>
      <c r="I138" s="783">
        <f t="shared" si="4"/>
        <v>0</v>
      </c>
      <c r="J138" s="783"/>
      <c r="K138" s="803"/>
      <c r="L138" s="787"/>
      <c r="M138" s="803"/>
      <c r="N138" s="787"/>
      <c r="O138" s="787"/>
    </row>
    <row r="139" spans="3:15">
      <c r="C139" s="779">
        <f>IF(D95="","-",+C138+1)</f>
        <v>2050</v>
      </c>
      <c r="D139" s="727">
        <f t="shared" si="0"/>
        <v>0</v>
      </c>
      <c r="E139" s="780">
        <f t="shared" si="5"/>
        <v>0</v>
      </c>
      <c r="F139" s="727">
        <f t="shared" si="1"/>
        <v>0</v>
      </c>
      <c r="G139" s="785">
        <f t="shared" si="2"/>
        <v>0</v>
      </c>
      <c r="H139" s="786">
        <f t="shared" si="3"/>
        <v>0</v>
      </c>
      <c r="I139" s="783">
        <f t="shared" si="4"/>
        <v>0</v>
      </c>
      <c r="J139" s="783"/>
      <c r="K139" s="803"/>
      <c r="L139" s="787"/>
      <c r="M139" s="803"/>
      <c r="N139" s="787"/>
      <c r="O139" s="787"/>
    </row>
    <row r="140" spans="3:15">
      <c r="C140" s="779">
        <f>IF(D95="","-",+C139+1)</f>
        <v>2051</v>
      </c>
      <c r="D140" s="727">
        <f t="shared" si="0"/>
        <v>0</v>
      </c>
      <c r="E140" s="780">
        <f t="shared" si="5"/>
        <v>0</v>
      </c>
      <c r="F140" s="727">
        <f t="shared" si="1"/>
        <v>0</v>
      </c>
      <c r="G140" s="785">
        <f t="shared" si="2"/>
        <v>0</v>
      </c>
      <c r="H140" s="786">
        <f t="shared" si="3"/>
        <v>0</v>
      </c>
      <c r="I140" s="783">
        <f t="shared" si="4"/>
        <v>0</v>
      </c>
      <c r="J140" s="783"/>
      <c r="K140" s="803"/>
      <c r="L140" s="787"/>
      <c r="M140" s="803"/>
      <c r="N140" s="787"/>
      <c r="O140" s="787"/>
    </row>
    <row r="141" spans="3:15">
      <c r="C141" s="779">
        <f>IF(D95="","-",+C140+1)</f>
        <v>2052</v>
      </c>
      <c r="D141" s="727">
        <f t="shared" si="0"/>
        <v>0</v>
      </c>
      <c r="E141" s="780">
        <f t="shared" si="5"/>
        <v>0</v>
      </c>
      <c r="F141" s="727">
        <f t="shared" si="1"/>
        <v>0</v>
      </c>
      <c r="G141" s="785">
        <f t="shared" si="2"/>
        <v>0</v>
      </c>
      <c r="H141" s="786">
        <f t="shared" si="3"/>
        <v>0</v>
      </c>
      <c r="I141" s="783">
        <f t="shared" si="4"/>
        <v>0</v>
      </c>
      <c r="J141" s="783"/>
      <c r="K141" s="803"/>
      <c r="L141" s="787"/>
      <c r="M141" s="803"/>
      <c r="N141" s="787"/>
      <c r="O141" s="787"/>
    </row>
    <row r="142" spans="3:15">
      <c r="C142" s="779">
        <f>IF(D95="","-",+C141+1)</f>
        <v>2053</v>
      </c>
      <c r="D142" s="727">
        <f t="shared" si="0"/>
        <v>0</v>
      </c>
      <c r="E142" s="780">
        <f t="shared" si="5"/>
        <v>0</v>
      </c>
      <c r="F142" s="727">
        <f t="shared" si="1"/>
        <v>0</v>
      </c>
      <c r="G142" s="785">
        <f t="shared" si="2"/>
        <v>0</v>
      </c>
      <c r="H142" s="786">
        <f t="shared" si="3"/>
        <v>0</v>
      </c>
      <c r="I142" s="783">
        <f t="shared" si="4"/>
        <v>0</v>
      </c>
      <c r="J142" s="783"/>
      <c r="K142" s="803"/>
      <c r="L142" s="787"/>
      <c r="M142" s="803"/>
      <c r="N142" s="787"/>
      <c r="O142" s="787"/>
    </row>
    <row r="143" spans="3:15">
      <c r="C143" s="779">
        <f>IF(D95="","-",+C142+1)</f>
        <v>2054</v>
      </c>
      <c r="D143" s="727">
        <f t="shared" si="0"/>
        <v>0</v>
      </c>
      <c r="E143" s="780">
        <f t="shared" si="5"/>
        <v>0</v>
      </c>
      <c r="F143" s="727">
        <f t="shared" si="1"/>
        <v>0</v>
      </c>
      <c r="G143" s="785">
        <f t="shared" si="2"/>
        <v>0</v>
      </c>
      <c r="H143" s="786">
        <f t="shared" si="3"/>
        <v>0</v>
      </c>
      <c r="I143" s="783">
        <f t="shared" si="4"/>
        <v>0</v>
      </c>
      <c r="J143" s="783"/>
      <c r="K143" s="803"/>
      <c r="L143" s="787"/>
      <c r="M143" s="803"/>
      <c r="N143" s="787"/>
      <c r="O143" s="787"/>
    </row>
    <row r="144" spans="3:15">
      <c r="C144" s="779">
        <f>IF(D95="","-",+C143+1)</f>
        <v>2055</v>
      </c>
      <c r="D144" s="727">
        <f t="shared" si="0"/>
        <v>0</v>
      </c>
      <c r="E144" s="780">
        <f t="shared" si="5"/>
        <v>0</v>
      </c>
      <c r="F144" s="727">
        <f t="shared" si="1"/>
        <v>0</v>
      </c>
      <c r="G144" s="785">
        <f t="shared" si="2"/>
        <v>0</v>
      </c>
      <c r="H144" s="786">
        <f t="shared" si="3"/>
        <v>0</v>
      </c>
      <c r="I144" s="783">
        <f t="shared" si="4"/>
        <v>0</v>
      </c>
      <c r="J144" s="783"/>
      <c r="K144" s="803"/>
      <c r="L144" s="787"/>
      <c r="M144" s="803"/>
      <c r="N144" s="787"/>
      <c r="O144" s="787"/>
    </row>
    <row r="145" spans="3:15">
      <c r="C145" s="779">
        <f>IF(D95="","-",+C144+1)</f>
        <v>2056</v>
      </c>
      <c r="D145" s="727">
        <f t="shared" si="0"/>
        <v>0</v>
      </c>
      <c r="E145" s="780">
        <f t="shared" si="5"/>
        <v>0</v>
      </c>
      <c r="F145" s="727">
        <f t="shared" si="1"/>
        <v>0</v>
      </c>
      <c r="G145" s="785">
        <f t="shared" si="2"/>
        <v>0</v>
      </c>
      <c r="H145" s="786">
        <f t="shared" si="3"/>
        <v>0</v>
      </c>
      <c r="I145" s="783">
        <f t="shared" si="4"/>
        <v>0</v>
      </c>
      <c r="J145" s="783"/>
      <c r="K145" s="803"/>
      <c r="L145" s="787"/>
      <c r="M145" s="803"/>
      <c r="N145" s="787"/>
      <c r="O145" s="787"/>
    </row>
    <row r="146" spans="3:15">
      <c r="C146" s="779">
        <f>IF(D95="","-",+C145+1)</f>
        <v>2057</v>
      </c>
      <c r="D146" s="727">
        <f t="shared" si="0"/>
        <v>0</v>
      </c>
      <c r="E146" s="780">
        <f t="shared" si="5"/>
        <v>0</v>
      </c>
      <c r="F146" s="727">
        <f t="shared" si="1"/>
        <v>0</v>
      </c>
      <c r="G146" s="785">
        <f t="shared" si="2"/>
        <v>0</v>
      </c>
      <c r="H146" s="786">
        <f t="shared" si="3"/>
        <v>0</v>
      </c>
      <c r="I146" s="783">
        <f t="shared" si="4"/>
        <v>0</v>
      </c>
      <c r="J146" s="783"/>
      <c r="K146" s="803"/>
      <c r="L146" s="787"/>
      <c r="M146" s="803"/>
      <c r="N146" s="787"/>
      <c r="O146" s="787"/>
    </row>
    <row r="147" spans="3:15">
      <c r="C147" s="779">
        <f>IF(D95="","-",+C146+1)</f>
        <v>2058</v>
      </c>
      <c r="D147" s="727">
        <f t="shared" si="0"/>
        <v>0</v>
      </c>
      <c r="E147" s="780">
        <f t="shared" si="5"/>
        <v>0</v>
      </c>
      <c r="F147" s="727">
        <f t="shared" si="1"/>
        <v>0</v>
      </c>
      <c r="G147" s="785">
        <f t="shared" si="2"/>
        <v>0</v>
      </c>
      <c r="H147" s="786">
        <f t="shared" si="3"/>
        <v>0</v>
      </c>
      <c r="I147" s="783">
        <f t="shared" si="4"/>
        <v>0</v>
      </c>
      <c r="J147" s="783"/>
      <c r="K147" s="803"/>
      <c r="L147" s="787"/>
      <c r="M147" s="803"/>
      <c r="N147" s="787"/>
      <c r="O147" s="787"/>
    </row>
    <row r="148" spans="3:15">
      <c r="C148" s="779">
        <f>IF(D95="","-",+C147+1)</f>
        <v>2059</v>
      </c>
      <c r="D148" s="727">
        <f t="shared" si="0"/>
        <v>0</v>
      </c>
      <c r="E148" s="780">
        <f t="shared" si="5"/>
        <v>0</v>
      </c>
      <c r="F148" s="727">
        <f t="shared" si="1"/>
        <v>0</v>
      </c>
      <c r="G148" s="785">
        <f t="shared" si="2"/>
        <v>0</v>
      </c>
      <c r="H148" s="786">
        <f t="shared" si="3"/>
        <v>0</v>
      </c>
      <c r="I148" s="783">
        <f t="shared" si="4"/>
        <v>0</v>
      </c>
      <c r="J148" s="783"/>
      <c r="K148" s="803"/>
      <c r="L148" s="787"/>
      <c r="M148" s="803"/>
      <c r="N148" s="787"/>
      <c r="O148" s="787"/>
    </row>
    <row r="149" spans="3:15">
      <c r="C149" s="779">
        <f>IF(D95="","-",+C148+1)</f>
        <v>2060</v>
      </c>
      <c r="D149" s="727">
        <f t="shared" si="0"/>
        <v>0</v>
      </c>
      <c r="E149" s="780">
        <f t="shared" si="5"/>
        <v>0</v>
      </c>
      <c r="F149" s="727">
        <f t="shared" si="1"/>
        <v>0</v>
      </c>
      <c r="G149" s="785">
        <f t="shared" si="2"/>
        <v>0</v>
      </c>
      <c r="H149" s="786">
        <f t="shared" si="3"/>
        <v>0</v>
      </c>
      <c r="I149" s="783">
        <f t="shared" si="4"/>
        <v>0</v>
      </c>
      <c r="J149" s="783"/>
      <c r="K149" s="803"/>
      <c r="L149" s="787"/>
      <c r="M149" s="803"/>
      <c r="N149" s="787"/>
      <c r="O149" s="787"/>
    </row>
    <row r="150" spans="3:15">
      <c r="C150" s="779">
        <f>IF(D95="","-",+C149+1)</f>
        <v>2061</v>
      </c>
      <c r="D150" s="727">
        <f t="shared" si="0"/>
        <v>0</v>
      </c>
      <c r="E150" s="780">
        <f t="shared" si="5"/>
        <v>0</v>
      </c>
      <c r="F150" s="727">
        <f t="shared" si="1"/>
        <v>0</v>
      </c>
      <c r="G150" s="785">
        <f t="shared" si="2"/>
        <v>0</v>
      </c>
      <c r="H150" s="786">
        <f t="shared" si="3"/>
        <v>0</v>
      </c>
      <c r="I150" s="783">
        <f t="shared" si="4"/>
        <v>0</v>
      </c>
      <c r="J150" s="783"/>
      <c r="K150" s="803"/>
      <c r="L150" s="787"/>
      <c r="M150" s="803"/>
      <c r="N150" s="787"/>
      <c r="O150" s="787"/>
    </row>
    <row r="151" spans="3:15">
      <c r="C151" s="779">
        <f>IF(D95="","-",+C150+1)</f>
        <v>2062</v>
      </c>
      <c r="D151" s="727">
        <f t="shared" si="0"/>
        <v>0</v>
      </c>
      <c r="E151" s="780">
        <f t="shared" si="5"/>
        <v>0</v>
      </c>
      <c r="F151" s="727">
        <f t="shared" si="1"/>
        <v>0</v>
      </c>
      <c r="G151" s="785">
        <f t="shared" si="2"/>
        <v>0</v>
      </c>
      <c r="H151" s="786">
        <f t="shared" si="3"/>
        <v>0</v>
      </c>
      <c r="I151" s="783">
        <f t="shared" si="4"/>
        <v>0</v>
      </c>
      <c r="J151" s="783"/>
      <c r="K151" s="803"/>
      <c r="L151" s="787"/>
      <c r="M151" s="803"/>
      <c r="N151" s="787"/>
      <c r="O151" s="787"/>
    </row>
    <row r="152" spans="3:15">
      <c r="C152" s="779">
        <f>IF(D95="","-",+C151+1)</f>
        <v>2063</v>
      </c>
      <c r="D152" s="727">
        <f t="shared" si="0"/>
        <v>0</v>
      </c>
      <c r="E152" s="780">
        <f t="shared" si="5"/>
        <v>0</v>
      </c>
      <c r="F152" s="727">
        <f t="shared" si="1"/>
        <v>0</v>
      </c>
      <c r="G152" s="785">
        <f t="shared" si="2"/>
        <v>0</v>
      </c>
      <c r="H152" s="786">
        <f t="shared" si="3"/>
        <v>0</v>
      </c>
      <c r="I152" s="783">
        <f t="shared" si="4"/>
        <v>0</v>
      </c>
      <c r="J152" s="783"/>
      <c r="K152" s="803"/>
      <c r="L152" s="787"/>
      <c r="M152" s="803"/>
      <c r="N152" s="787"/>
      <c r="O152" s="787"/>
    </row>
    <row r="153" spans="3:15">
      <c r="C153" s="779">
        <f>IF(D95="","-",+C152+1)</f>
        <v>2064</v>
      </c>
      <c r="D153" s="727">
        <f t="shared" si="0"/>
        <v>0</v>
      </c>
      <c r="E153" s="780">
        <f t="shared" si="5"/>
        <v>0</v>
      </c>
      <c r="F153" s="727">
        <f t="shared" si="1"/>
        <v>0</v>
      </c>
      <c r="G153" s="785">
        <f t="shared" si="2"/>
        <v>0</v>
      </c>
      <c r="H153" s="786">
        <f t="shared" si="3"/>
        <v>0</v>
      </c>
      <c r="I153" s="783">
        <f t="shared" si="4"/>
        <v>0</v>
      </c>
      <c r="J153" s="783"/>
      <c r="K153" s="803"/>
      <c r="L153" s="787"/>
      <c r="M153" s="803"/>
      <c r="N153" s="787"/>
      <c r="O153" s="787"/>
    </row>
    <row r="154" spans="3:15">
      <c r="C154" s="779">
        <f>IF(D95="","-",+C153+1)</f>
        <v>2065</v>
      </c>
      <c r="D154" s="727">
        <f t="shared" si="0"/>
        <v>0</v>
      </c>
      <c r="E154" s="780">
        <f t="shared" si="5"/>
        <v>0</v>
      </c>
      <c r="F154" s="727">
        <f t="shared" si="1"/>
        <v>0</v>
      </c>
      <c r="G154" s="785">
        <f t="shared" si="2"/>
        <v>0</v>
      </c>
      <c r="H154" s="786">
        <f t="shared" si="3"/>
        <v>0</v>
      </c>
      <c r="I154" s="783">
        <f t="shared" si="4"/>
        <v>0</v>
      </c>
      <c r="J154" s="783"/>
      <c r="K154" s="803"/>
      <c r="L154" s="787"/>
      <c r="M154" s="803"/>
      <c r="N154" s="787"/>
      <c r="O154" s="787"/>
    </row>
    <row r="155" spans="3:15">
      <c r="C155" s="779">
        <f>IF(D95="","-",+C154+1)</f>
        <v>2066</v>
      </c>
      <c r="D155" s="727">
        <f t="shared" si="0"/>
        <v>0</v>
      </c>
      <c r="E155" s="780">
        <f t="shared" si="5"/>
        <v>0</v>
      </c>
      <c r="F155" s="727">
        <f t="shared" si="1"/>
        <v>0</v>
      </c>
      <c r="G155" s="785">
        <f t="shared" si="2"/>
        <v>0</v>
      </c>
      <c r="H155" s="786">
        <f t="shared" si="3"/>
        <v>0</v>
      </c>
      <c r="I155" s="783">
        <f t="shared" si="4"/>
        <v>0</v>
      </c>
      <c r="J155" s="783"/>
      <c r="K155" s="803"/>
      <c r="L155" s="787"/>
      <c r="M155" s="803"/>
      <c r="N155" s="787"/>
      <c r="O155" s="787"/>
    </row>
    <row r="156" spans="3:15">
      <c r="C156" s="779">
        <f>IF(D95="","-",+C155+1)</f>
        <v>2067</v>
      </c>
      <c r="D156" s="727">
        <f t="shared" si="0"/>
        <v>0</v>
      </c>
      <c r="E156" s="780">
        <f t="shared" si="5"/>
        <v>0</v>
      </c>
      <c r="F156" s="727">
        <f t="shared" si="1"/>
        <v>0</v>
      </c>
      <c r="G156" s="785">
        <f t="shared" si="2"/>
        <v>0</v>
      </c>
      <c r="H156" s="786">
        <f t="shared" si="3"/>
        <v>0</v>
      </c>
      <c r="I156" s="783">
        <f t="shared" si="4"/>
        <v>0</v>
      </c>
      <c r="J156" s="783"/>
      <c r="K156" s="803"/>
      <c r="L156" s="787"/>
      <c r="M156" s="803"/>
      <c r="N156" s="787"/>
      <c r="O156" s="787"/>
    </row>
    <row r="157" spans="3:15">
      <c r="C157" s="779">
        <f>IF(D95="","-",+C156+1)</f>
        <v>2068</v>
      </c>
      <c r="D157" s="727">
        <f t="shared" si="0"/>
        <v>0</v>
      </c>
      <c r="E157" s="780">
        <f t="shared" si="5"/>
        <v>0</v>
      </c>
      <c r="F157" s="727">
        <f t="shared" si="1"/>
        <v>0</v>
      </c>
      <c r="G157" s="785">
        <f t="shared" si="2"/>
        <v>0</v>
      </c>
      <c r="H157" s="786">
        <f t="shared" si="3"/>
        <v>0</v>
      </c>
      <c r="I157" s="783">
        <f t="shared" si="4"/>
        <v>0</v>
      </c>
      <c r="J157" s="783"/>
      <c r="K157" s="803"/>
      <c r="L157" s="787"/>
      <c r="M157" s="803"/>
      <c r="N157" s="787"/>
      <c r="O157" s="787"/>
    </row>
    <row r="158" spans="3:15">
      <c r="C158" s="779">
        <f>IF(D95="","-",+C157+1)</f>
        <v>2069</v>
      </c>
      <c r="D158" s="727">
        <f t="shared" si="0"/>
        <v>0</v>
      </c>
      <c r="E158" s="780">
        <f t="shared" si="5"/>
        <v>0</v>
      </c>
      <c r="F158" s="727">
        <f t="shared" si="1"/>
        <v>0</v>
      </c>
      <c r="G158" s="785">
        <f t="shared" si="2"/>
        <v>0</v>
      </c>
      <c r="H158" s="786">
        <f t="shared" si="3"/>
        <v>0</v>
      </c>
      <c r="I158" s="783">
        <f t="shared" si="4"/>
        <v>0</v>
      </c>
      <c r="J158" s="783"/>
      <c r="K158" s="803"/>
      <c r="L158" s="787"/>
      <c r="M158" s="803"/>
      <c r="N158" s="787"/>
      <c r="O158" s="787"/>
    </row>
    <row r="159" spans="3:15">
      <c r="C159" s="779">
        <f>IF(D95="","-",+C158+1)</f>
        <v>2070</v>
      </c>
      <c r="D159" s="727">
        <f t="shared" si="0"/>
        <v>0</v>
      </c>
      <c r="E159" s="780">
        <f t="shared" si="5"/>
        <v>0</v>
      </c>
      <c r="F159" s="727">
        <f t="shared" si="1"/>
        <v>0</v>
      </c>
      <c r="G159" s="785">
        <f t="shared" si="2"/>
        <v>0</v>
      </c>
      <c r="H159" s="786">
        <f t="shared" si="3"/>
        <v>0</v>
      </c>
      <c r="I159" s="783">
        <f t="shared" si="4"/>
        <v>0</v>
      </c>
      <c r="J159" s="783"/>
      <c r="K159" s="803"/>
      <c r="L159" s="787"/>
      <c r="M159" s="803"/>
      <c r="N159" s="787"/>
      <c r="O159" s="787"/>
    </row>
    <row r="160" spans="3:15" ht="13.5" thickBot="1">
      <c r="C160" s="789">
        <f>IF(D95="","-",+C159+1)</f>
        <v>2071</v>
      </c>
      <c r="D160" s="790">
        <f t="shared" si="0"/>
        <v>0</v>
      </c>
      <c r="E160" s="791">
        <f t="shared" si="5"/>
        <v>0</v>
      </c>
      <c r="F160" s="790">
        <f t="shared" si="1"/>
        <v>0</v>
      </c>
      <c r="G160" s="792">
        <f t="shared" si="2"/>
        <v>0</v>
      </c>
      <c r="H160" s="792">
        <f t="shared" si="3"/>
        <v>0</v>
      </c>
      <c r="I160" s="793">
        <f t="shared" si="4"/>
        <v>0</v>
      </c>
      <c r="J160" s="783"/>
      <c r="K160" s="804"/>
      <c r="L160" s="794"/>
      <c r="M160" s="804"/>
      <c r="N160" s="794"/>
      <c r="O160" s="794"/>
    </row>
    <row r="161" spans="1:16">
      <c r="C161" s="727" t="s">
        <v>93</v>
      </c>
      <c r="D161" s="721"/>
      <c r="E161" s="721">
        <f>SUM(E101:E160)</f>
        <v>6636011</v>
      </c>
      <c r="F161" s="721"/>
      <c r="G161" s="721">
        <f>SUM(G101:G160)</f>
        <v>21118277.62279788</v>
      </c>
      <c r="H161" s="721">
        <f>SUM(H101:H160)</f>
        <v>21118277.62279788</v>
      </c>
      <c r="I161" s="721">
        <f>SUM(I101:I160)</f>
        <v>0</v>
      </c>
      <c r="J161" s="721"/>
      <c r="K161" s="721"/>
      <c r="L161" s="721"/>
      <c r="M161" s="721"/>
      <c r="N161" s="721"/>
      <c r="O161" s="308"/>
    </row>
    <row r="162" spans="1:16">
      <c r="D162" s="529"/>
      <c r="E162" s="308"/>
      <c r="F162" s="308"/>
      <c r="G162" s="308"/>
      <c r="H162" s="699"/>
      <c r="I162" s="699"/>
      <c r="J162" s="721"/>
      <c r="K162" s="699"/>
      <c r="L162" s="699"/>
      <c r="M162" s="699"/>
      <c r="N162" s="699"/>
      <c r="O162" s="308"/>
    </row>
    <row r="163" spans="1:16">
      <c r="C163" s="308" t="s">
        <v>15</v>
      </c>
      <c r="D163" s="529"/>
      <c r="E163" s="308"/>
      <c r="F163" s="308"/>
      <c r="G163" s="308"/>
      <c r="H163" s="699"/>
      <c r="I163" s="699"/>
      <c r="J163" s="721"/>
      <c r="K163" s="699"/>
      <c r="L163" s="699"/>
      <c r="M163" s="699"/>
      <c r="N163" s="699"/>
      <c r="O163" s="308"/>
    </row>
    <row r="164" spans="1:16">
      <c r="C164" s="308"/>
      <c r="D164" s="529"/>
      <c r="E164" s="308"/>
      <c r="F164" s="308"/>
      <c r="G164" s="308"/>
      <c r="H164" s="699"/>
      <c r="I164" s="699"/>
      <c r="J164" s="721"/>
      <c r="K164" s="699"/>
      <c r="L164" s="699"/>
      <c r="M164" s="699"/>
      <c r="N164" s="699"/>
      <c r="O164" s="308"/>
    </row>
    <row r="165" spans="1:16">
      <c r="C165" s="740" t="s">
        <v>16</v>
      </c>
      <c r="D165" s="727"/>
      <c r="E165" s="727"/>
      <c r="F165" s="727"/>
      <c r="G165" s="721"/>
      <c r="H165" s="721"/>
      <c r="I165" s="795"/>
      <c r="J165" s="795"/>
      <c r="K165" s="795"/>
      <c r="L165" s="795"/>
      <c r="M165" s="795"/>
      <c r="N165" s="795"/>
      <c r="O165" s="308"/>
    </row>
    <row r="166" spans="1:16">
      <c r="C166" s="726" t="s">
        <v>273</v>
      </c>
      <c r="D166" s="727"/>
      <c r="E166" s="727"/>
      <c r="F166" s="727"/>
      <c r="G166" s="721"/>
      <c r="H166" s="721"/>
      <c r="I166" s="795"/>
      <c r="J166" s="795"/>
      <c r="K166" s="795"/>
      <c r="L166" s="795"/>
      <c r="M166" s="795"/>
      <c r="N166" s="795"/>
      <c r="O166" s="308"/>
    </row>
    <row r="167" spans="1:16">
      <c r="C167" s="726" t="s">
        <v>94</v>
      </c>
      <c r="D167" s="727"/>
      <c r="E167" s="727"/>
      <c r="F167" s="727"/>
      <c r="G167" s="721"/>
      <c r="H167" s="721"/>
      <c r="I167" s="795"/>
      <c r="J167" s="795"/>
      <c r="K167" s="795"/>
      <c r="L167" s="795"/>
      <c r="M167" s="795"/>
      <c r="N167" s="795"/>
      <c r="O167" s="308"/>
    </row>
    <row r="168" spans="1:16">
      <c r="C168" s="726"/>
      <c r="D168" s="727"/>
      <c r="E168" s="727"/>
      <c r="F168" s="727"/>
      <c r="G168" s="721"/>
      <c r="H168" s="721"/>
      <c r="I168" s="795"/>
      <c r="J168" s="795"/>
      <c r="K168" s="795"/>
      <c r="L168" s="795"/>
      <c r="M168" s="795"/>
      <c r="N168" s="795"/>
      <c r="O168" s="308"/>
    </row>
    <row r="169" spans="1:16">
      <c r="C169" s="1552" t="s">
        <v>8</v>
      </c>
      <c r="D169" s="1552"/>
      <c r="E169" s="1552"/>
      <c r="F169" s="1552"/>
      <c r="G169" s="1552"/>
      <c r="H169" s="1552"/>
      <c r="I169" s="1552"/>
      <c r="J169" s="1552"/>
      <c r="K169" s="1552"/>
      <c r="L169" s="1552"/>
      <c r="M169" s="1552"/>
      <c r="N169" s="1552"/>
      <c r="O169" s="1552"/>
    </row>
    <row r="170" spans="1:16">
      <c r="C170" s="1552"/>
      <c r="D170" s="1552"/>
      <c r="E170" s="1552"/>
      <c r="F170" s="1552"/>
      <c r="G170" s="1552"/>
      <c r="H170" s="1552"/>
      <c r="I170" s="1552"/>
      <c r="J170" s="1552"/>
      <c r="K170" s="1552"/>
      <c r="L170" s="1552"/>
      <c r="M170" s="1552"/>
      <c r="N170" s="1552"/>
      <c r="O170" s="1552"/>
    </row>
    <row r="171" spans="1:16">
      <c r="C171" s="726"/>
      <c r="D171" s="727"/>
      <c r="E171" s="727"/>
      <c r="F171" s="727"/>
      <c r="G171" s="721"/>
      <c r="H171" s="721"/>
    </row>
    <row r="172" spans="1:16" ht="20.25">
      <c r="A172" s="728" t="str">
        <f>""&amp;A96&amp;" Worksheet J -  ATRR PROJECTED Calculation for PJM Projects Charged to Benefiting Zones"</f>
        <v xml:space="preserve"> Worksheet J -  ATRR PROJECTED Calculation for PJM Projects Charged to Benefiting Zones</v>
      </c>
      <c r="B172" s="341"/>
      <c r="C172" s="716"/>
      <c r="D172" s="529"/>
      <c r="E172" s="308"/>
      <c r="F172" s="698"/>
      <c r="G172" s="308"/>
      <c r="H172" s="699"/>
      <c r="K172" s="555"/>
      <c r="L172" s="555"/>
      <c r="M172" s="555"/>
      <c r="N172" s="644" t="str">
        <f>"Page "&amp;SUM(P$8:P172)&amp;" of "</f>
        <v xml:space="preserve">Page 3 of </v>
      </c>
      <c r="O172" s="645">
        <f>COUNT(P$8:P$56656)</f>
        <v>11</v>
      </c>
      <c r="P172" s="172">
        <v>1</v>
      </c>
    </row>
    <row r="173" spans="1:16">
      <c r="B173" s="341"/>
      <c r="C173" s="308"/>
      <c r="D173" s="529"/>
      <c r="E173" s="308"/>
      <c r="F173" s="308"/>
      <c r="G173" s="308"/>
      <c r="H173" s="699"/>
      <c r="I173" s="308"/>
      <c r="J173" s="418"/>
      <c r="K173" s="308"/>
      <c r="L173" s="308"/>
      <c r="M173" s="308"/>
      <c r="N173" s="308"/>
      <c r="O173" s="308"/>
    </row>
    <row r="174" spans="1:16" ht="18">
      <c r="B174" s="648" t="s">
        <v>474</v>
      </c>
      <c r="C174" s="730" t="s">
        <v>95</v>
      </c>
      <c r="D174" s="529"/>
      <c r="E174" s="308"/>
      <c r="F174" s="308"/>
      <c r="G174" s="308"/>
      <c r="H174" s="699"/>
      <c r="I174" s="699"/>
      <c r="J174" s="721"/>
      <c r="K174" s="699"/>
      <c r="L174" s="699"/>
      <c r="M174" s="699"/>
      <c r="N174" s="699"/>
      <c r="O174" s="308"/>
    </row>
    <row r="175" spans="1:16" ht="18.75">
      <c r="B175" s="648"/>
      <c r="C175" s="647"/>
      <c r="D175" s="529"/>
      <c r="E175" s="308"/>
      <c r="F175" s="308"/>
      <c r="G175" s="308"/>
      <c r="H175" s="699"/>
      <c r="I175" s="699"/>
      <c r="J175" s="721"/>
      <c r="K175" s="699"/>
      <c r="L175" s="699"/>
      <c r="M175" s="699"/>
      <c r="N175" s="699"/>
      <c r="O175" s="308"/>
    </row>
    <row r="176" spans="1:16" ht="18.75">
      <c r="B176" s="648"/>
      <c r="C176" s="647" t="s">
        <v>96</v>
      </c>
      <c r="D176" s="529"/>
      <c r="E176" s="308"/>
      <c r="F176" s="308"/>
      <c r="G176" s="308"/>
      <c r="H176" s="699"/>
      <c r="I176" s="699"/>
      <c r="J176" s="721"/>
      <c r="K176" s="699"/>
      <c r="L176" s="699"/>
      <c r="M176" s="699"/>
      <c r="N176" s="699"/>
      <c r="O176" s="308"/>
    </row>
    <row r="177" spans="2:15" ht="15.75" thickBot="1">
      <c r="C177" s="239"/>
      <c r="D177" s="529"/>
      <c r="E177" s="308"/>
      <c r="F177" s="308"/>
      <c r="G177" s="308"/>
      <c r="H177" s="699"/>
      <c r="I177" s="699"/>
      <c r="J177" s="721"/>
      <c r="K177" s="699"/>
      <c r="L177" s="699"/>
      <c r="M177" s="699"/>
      <c r="N177" s="699"/>
      <c r="O177" s="308"/>
    </row>
    <row r="178" spans="2:15" ht="15.75">
      <c r="C178" s="650" t="s">
        <v>97</v>
      </c>
      <c r="D178" s="529"/>
      <c r="E178" s="308"/>
      <c r="F178" s="308"/>
      <c r="G178" s="797"/>
      <c r="H178" s="308" t="s">
        <v>76</v>
      </c>
      <c r="I178" s="308"/>
      <c r="J178" s="418"/>
      <c r="K178" s="731" t="s">
        <v>101</v>
      </c>
      <c r="L178" s="732"/>
      <c r="M178" s="733"/>
      <c r="N178" s="734">
        <f>IF(I184=0,0,VLOOKUP(I184,C191:O250,5))</f>
        <v>1739027.8771582679</v>
      </c>
      <c r="O178" s="308"/>
    </row>
    <row r="179" spans="2:15" ht="15.75">
      <c r="C179" s="650"/>
      <c r="D179" s="529"/>
      <c r="E179" s="308"/>
      <c r="F179" s="308"/>
      <c r="G179" s="308"/>
      <c r="H179" s="735"/>
      <c r="I179" s="735"/>
      <c r="J179" s="736"/>
      <c r="K179" s="737" t="s">
        <v>102</v>
      </c>
      <c r="L179" s="738"/>
      <c r="M179" s="418"/>
      <c r="N179" s="739">
        <f>IF(I184=0,0,VLOOKUP(I184,C191:O250,6))</f>
        <v>1739027.8771582679</v>
      </c>
      <c r="O179" s="308"/>
    </row>
    <row r="180" spans="2:15" ht="13.5" thickBot="1">
      <c r="C180" s="740" t="s">
        <v>98</v>
      </c>
      <c r="D180" s="1553" t="s">
        <v>816</v>
      </c>
      <c r="E180" s="1553"/>
      <c r="F180" s="1553"/>
      <c r="G180" s="1553"/>
      <c r="H180" s="1553"/>
      <c r="I180" s="1553"/>
      <c r="J180" s="721"/>
      <c r="K180" s="741" t="s">
        <v>240</v>
      </c>
      <c r="L180" s="742"/>
      <c r="M180" s="742"/>
      <c r="N180" s="743">
        <f>+N179-N178</f>
        <v>0</v>
      </c>
      <c r="O180" s="308"/>
    </row>
    <row r="181" spans="2:15">
      <c r="C181" s="744"/>
      <c r="D181" s="1553"/>
      <c r="E181" s="1553"/>
      <c r="F181" s="1553"/>
      <c r="G181" s="1553"/>
      <c r="H181" s="1553"/>
      <c r="I181" s="1553"/>
      <c r="J181" s="721"/>
      <c r="K181" s="699"/>
      <c r="L181" s="699"/>
      <c r="M181" s="699"/>
      <c r="N181" s="699"/>
      <c r="O181" s="308"/>
    </row>
    <row r="182" spans="2:15" ht="13.5" thickBot="1">
      <c r="C182" s="747"/>
      <c r="D182" s="748"/>
      <c r="E182" s="746"/>
      <c r="F182" s="746"/>
      <c r="G182" s="746"/>
      <c r="H182" s="746"/>
      <c r="I182" s="746"/>
      <c r="J182" s="749"/>
      <c r="K182" s="746"/>
      <c r="L182" s="746"/>
      <c r="M182" s="746"/>
      <c r="N182" s="746"/>
      <c r="O182" s="341"/>
    </row>
    <row r="183" spans="2:15" ht="13.5" thickBot="1">
      <c r="C183" s="750" t="s">
        <v>99</v>
      </c>
      <c r="D183" s="751"/>
      <c r="E183" s="751"/>
      <c r="F183" s="751"/>
      <c r="G183" s="751"/>
      <c r="H183" s="751"/>
      <c r="I183" s="752"/>
      <c r="J183" s="753"/>
      <c r="K183" s="308"/>
      <c r="L183" s="308"/>
      <c r="M183" s="308"/>
      <c r="N183" s="308"/>
      <c r="O183" s="754"/>
    </row>
    <row r="184" spans="2:15" ht="15">
      <c r="C184" s="755" t="s">
        <v>77</v>
      </c>
      <c r="D184" s="799">
        <v>15264784</v>
      </c>
      <c r="E184" s="716" t="s">
        <v>78</v>
      </c>
      <c r="G184" s="756"/>
      <c r="H184" s="756"/>
      <c r="I184" s="757">
        <f>$L$26</f>
        <v>2022</v>
      </c>
      <c r="J184" s="545"/>
      <c r="K184" s="1554" t="s">
        <v>249</v>
      </c>
      <c r="L184" s="1554"/>
      <c r="M184" s="1554"/>
      <c r="N184" s="1554"/>
      <c r="O184" s="1554"/>
    </row>
    <row r="185" spans="2:15">
      <c r="C185" s="755" t="s">
        <v>80</v>
      </c>
      <c r="D185" s="800">
        <v>2013</v>
      </c>
      <c r="E185" s="755" t="s">
        <v>81</v>
      </c>
      <c r="F185" s="756"/>
      <c r="H185" s="172"/>
      <c r="I185" s="801">
        <f>IF(G178="",0,$F$17)</f>
        <v>0</v>
      </c>
      <c r="J185" s="758"/>
      <c r="K185" s="721" t="s">
        <v>249</v>
      </c>
    </row>
    <row r="186" spans="2:15">
      <c r="C186" s="755" t="s">
        <v>82</v>
      </c>
      <c r="D186" s="799">
        <v>6</v>
      </c>
      <c r="E186" s="755" t="s">
        <v>83</v>
      </c>
      <c r="F186" s="756"/>
      <c r="H186" s="172"/>
      <c r="I186" s="759">
        <f>$G$70</f>
        <v>0.11486185889303469</v>
      </c>
      <c r="J186" s="760"/>
      <c r="K186" s="172" t="str">
        <f>"          INPUT PROJECTED ARR (WITH &amp; WITHOUT INCENTIVES) FROM EACH PRIOR YEAR"</f>
        <v xml:space="preserve">          INPUT PROJECTED ARR (WITH &amp; WITHOUT INCENTIVES) FROM EACH PRIOR YEAR</v>
      </c>
    </row>
    <row r="187" spans="2:15">
      <c r="C187" s="755" t="s">
        <v>84</v>
      </c>
      <c r="D187" s="761">
        <f>$G$79</f>
        <v>36</v>
      </c>
      <c r="E187" s="755" t="s">
        <v>85</v>
      </c>
      <c r="F187" s="756"/>
      <c r="H187" s="172"/>
      <c r="I187" s="759">
        <f>IF(G178="",I186,$G$69)</f>
        <v>0.11486185889303469</v>
      </c>
      <c r="J187" s="762"/>
      <c r="K187" s="172" t="s">
        <v>162</v>
      </c>
    </row>
    <row r="188" spans="2:15" ht="13.5" thickBot="1">
      <c r="C188" s="755" t="s">
        <v>86</v>
      </c>
      <c r="D188" s="798" t="s">
        <v>814</v>
      </c>
      <c r="E188" s="763" t="s">
        <v>87</v>
      </c>
      <c r="F188" s="764"/>
      <c r="G188" s="765"/>
      <c r="H188" s="765"/>
      <c r="I188" s="743">
        <f>IF(D184=0,0,D184/D187)</f>
        <v>424021.77777777775</v>
      </c>
      <c r="J188" s="721"/>
      <c r="K188" s="721" t="s">
        <v>168</v>
      </c>
      <c r="L188" s="721"/>
      <c r="M188" s="721"/>
      <c r="N188" s="721"/>
      <c r="O188" s="418"/>
    </row>
    <row r="189" spans="2:15" ht="51">
      <c r="B189" s="836"/>
      <c r="C189" s="766" t="s">
        <v>77</v>
      </c>
      <c r="D189" s="767" t="s">
        <v>88</v>
      </c>
      <c r="E189" s="768" t="s">
        <v>89</v>
      </c>
      <c r="F189" s="767" t="s">
        <v>90</v>
      </c>
      <c r="G189" s="768" t="s">
        <v>161</v>
      </c>
      <c r="H189" s="769" t="s">
        <v>161</v>
      </c>
      <c r="I189" s="766" t="s">
        <v>100</v>
      </c>
      <c r="J189" s="770"/>
      <c r="K189" s="768" t="s">
        <v>170</v>
      </c>
      <c r="L189" s="771"/>
      <c r="M189" s="768" t="s">
        <v>170</v>
      </c>
      <c r="N189" s="771"/>
      <c r="O189" s="771"/>
    </row>
    <row r="190" spans="2:15" ht="13.5" thickBot="1">
      <c r="C190" s="772" t="s">
        <v>477</v>
      </c>
      <c r="D190" s="773" t="s">
        <v>478</v>
      </c>
      <c r="E190" s="772" t="s">
        <v>371</v>
      </c>
      <c r="F190" s="773" t="s">
        <v>478</v>
      </c>
      <c r="G190" s="774" t="s">
        <v>103</v>
      </c>
      <c r="H190" s="775" t="s">
        <v>105</v>
      </c>
      <c r="I190" s="776" t="s">
        <v>17</v>
      </c>
      <c r="J190" s="777"/>
      <c r="K190" s="774" t="s">
        <v>92</v>
      </c>
      <c r="L190" s="778"/>
      <c r="M190" s="774" t="s">
        <v>105</v>
      </c>
      <c r="N190" s="778"/>
      <c r="O190" s="778"/>
    </row>
    <row r="191" spans="2:15">
      <c r="C191" s="779">
        <f>IF(D185= "","-",D185)</f>
        <v>2013</v>
      </c>
      <c r="D191" s="727">
        <f>+D184</f>
        <v>15264784</v>
      </c>
      <c r="E191" s="780">
        <f>+I188/12*(12-D186)</f>
        <v>212010.88888888888</v>
      </c>
      <c r="F191" s="727">
        <f>+D191-E191</f>
        <v>15052773.111111112</v>
      </c>
      <c r="G191" s="988">
        <f>+$I$96*((D191+F191)/2)+E191</f>
        <v>1953176.3723278712</v>
      </c>
      <c r="H191" s="989">
        <f>$I$97*((D191+F191)/2)+E191</f>
        <v>1953176.3723278712</v>
      </c>
      <c r="I191" s="783">
        <f>+H191-G191</f>
        <v>0</v>
      </c>
      <c r="J191" s="783"/>
      <c r="K191" s="802">
        <v>1578782</v>
      </c>
      <c r="L191" s="784"/>
      <c r="M191" s="802">
        <v>1578782</v>
      </c>
      <c r="N191" s="784"/>
      <c r="O191" s="784"/>
    </row>
    <row r="192" spans="2:15">
      <c r="C192" s="779">
        <f>IF(D185="","-",+C191+1)</f>
        <v>2014</v>
      </c>
      <c r="D192" s="727">
        <f t="shared" ref="D192:D250" si="6">F191</f>
        <v>15052773.111111112</v>
      </c>
      <c r="E192" s="780">
        <f>IF(D192&gt;$I$188,$I$188,D192)</f>
        <v>424021.77777777775</v>
      </c>
      <c r="F192" s="727">
        <f t="shared" ref="F192:F250" si="7">+D192-E192</f>
        <v>14628751.333333334</v>
      </c>
      <c r="G192" s="785">
        <f t="shared" ref="G192:G250" si="8">+$I$96*((D192+F192)/2)+E192</f>
        <v>2128659.314011747</v>
      </c>
      <c r="H192" s="786">
        <f t="shared" ref="H192:H250" si="9">$I$97*((D192+F192)/2)+E192</f>
        <v>2128659.314011747</v>
      </c>
      <c r="I192" s="783">
        <f t="shared" ref="I192:I250" si="10">+H192-G192</f>
        <v>0</v>
      </c>
      <c r="J192" s="783"/>
      <c r="K192" s="803">
        <v>1735811</v>
      </c>
      <c r="L192" s="787"/>
      <c r="M192" s="803">
        <v>1735811</v>
      </c>
      <c r="N192" s="787"/>
      <c r="O192" s="787"/>
    </row>
    <row r="193" spans="3:15">
      <c r="C193" s="779">
        <f>IF(D185="","-",+C192+1)</f>
        <v>2015</v>
      </c>
      <c r="D193" s="727">
        <f t="shared" si="6"/>
        <v>14628751.333333334</v>
      </c>
      <c r="E193" s="780">
        <f t="shared" ref="E193:E250" si="11">IF(D193&gt;$I$188,$I$188,D193)</f>
        <v>424021.77777777775</v>
      </c>
      <c r="F193" s="727">
        <f t="shared" si="7"/>
        <v>14204729.555555556</v>
      </c>
      <c r="G193" s="785">
        <f t="shared" si="8"/>
        <v>2079955.3844050616</v>
      </c>
      <c r="H193" s="786">
        <f t="shared" si="9"/>
        <v>2079955.3844050616</v>
      </c>
      <c r="I193" s="783">
        <f t="shared" si="10"/>
        <v>0</v>
      </c>
      <c r="J193" s="783"/>
      <c r="K193" s="803">
        <v>1857418</v>
      </c>
      <c r="L193" s="787"/>
      <c r="M193" s="803">
        <v>1857418</v>
      </c>
      <c r="N193" s="787"/>
      <c r="O193" s="787"/>
    </row>
    <row r="194" spans="3:15">
      <c r="C194" s="779">
        <f>IF(D185="","-",+C193+1)</f>
        <v>2016</v>
      </c>
      <c r="D194" s="727">
        <f t="shared" si="6"/>
        <v>14204729.555555556</v>
      </c>
      <c r="E194" s="780">
        <f t="shared" si="11"/>
        <v>424021.77777777775</v>
      </c>
      <c r="F194" s="727">
        <f t="shared" si="7"/>
        <v>13780707.777777778</v>
      </c>
      <c r="G194" s="785">
        <f t="shared" si="8"/>
        <v>2031251.4547983771</v>
      </c>
      <c r="H194" s="786">
        <f t="shared" si="9"/>
        <v>2031251.4547983771</v>
      </c>
      <c r="I194" s="783">
        <f t="shared" si="10"/>
        <v>0</v>
      </c>
      <c r="J194" s="783"/>
      <c r="K194" s="803">
        <v>1808629</v>
      </c>
      <c r="L194" s="787"/>
      <c r="M194" s="803">
        <v>1808629</v>
      </c>
      <c r="N194" s="787"/>
      <c r="O194" s="787"/>
    </row>
    <row r="195" spans="3:15">
      <c r="C195" s="779">
        <f>IF(D185="","-",+C194+1)</f>
        <v>2017</v>
      </c>
      <c r="D195" s="727">
        <f t="shared" si="6"/>
        <v>13780707.777777778</v>
      </c>
      <c r="E195" s="780">
        <f t="shared" si="11"/>
        <v>424021.77777777775</v>
      </c>
      <c r="F195" s="727">
        <f t="shared" si="7"/>
        <v>13356686</v>
      </c>
      <c r="G195" s="785">
        <f t="shared" si="8"/>
        <v>1982547.5251916919</v>
      </c>
      <c r="H195" s="786">
        <f t="shared" si="9"/>
        <v>1982547.5251916919</v>
      </c>
      <c r="I195" s="783">
        <f t="shared" si="10"/>
        <v>0</v>
      </c>
      <c r="J195" s="783"/>
      <c r="K195" s="803">
        <v>1924179</v>
      </c>
      <c r="L195" s="787"/>
      <c r="M195" s="803">
        <v>1924179</v>
      </c>
      <c r="N195" s="787"/>
      <c r="O195" s="787"/>
    </row>
    <row r="196" spans="3:15">
      <c r="C196" s="1318">
        <f>IF(D185="","-",+C195+1)</f>
        <v>2018</v>
      </c>
      <c r="D196" s="727">
        <f t="shared" si="6"/>
        <v>13356686</v>
      </c>
      <c r="E196" s="780">
        <f t="shared" si="11"/>
        <v>424021.77777777775</v>
      </c>
      <c r="F196" s="727">
        <f t="shared" si="7"/>
        <v>12932664.222222222</v>
      </c>
      <c r="G196" s="785">
        <f t="shared" si="8"/>
        <v>1933843.5955850072</v>
      </c>
      <c r="H196" s="786">
        <f t="shared" si="9"/>
        <v>1933843.5955850072</v>
      </c>
      <c r="I196" s="783">
        <f t="shared" si="10"/>
        <v>0</v>
      </c>
      <c r="J196" s="783"/>
      <c r="K196" s="803">
        <v>1648242</v>
      </c>
      <c r="L196" s="787"/>
      <c r="M196" s="803">
        <v>1648242</v>
      </c>
      <c r="N196" s="787"/>
      <c r="O196" s="787"/>
    </row>
    <row r="197" spans="3:15">
      <c r="C197" s="1298">
        <f>IF(D185="","-",+C196+1)</f>
        <v>2019</v>
      </c>
      <c r="D197" s="727">
        <f t="shared" si="6"/>
        <v>12932664.222222222</v>
      </c>
      <c r="E197" s="780">
        <f t="shared" si="11"/>
        <v>424021.77777777775</v>
      </c>
      <c r="F197" s="727">
        <f t="shared" si="7"/>
        <v>12508642.444444444</v>
      </c>
      <c r="G197" s="785">
        <f t="shared" si="8"/>
        <v>1885139.6659783223</v>
      </c>
      <c r="H197" s="786">
        <f t="shared" si="9"/>
        <v>1885139.6659783223</v>
      </c>
      <c r="I197" s="783">
        <f t="shared" si="10"/>
        <v>0</v>
      </c>
      <c r="J197" s="783"/>
      <c r="K197" s="803"/>
      <c r="L197" s="787"/>
      <c r="M197" s="803"/>
      <c r="N197" s="787"/>
      <c r="O197" s="787"/>
    </row>
    <row r="198" spans="3:15">
      <c r="C198" s="779">
        <f>IF(D185="","-",+C197+1)</f>
        <v>2020</v>
      </c>
      <c r="D198" s="727">
        <f t="shared" si="6"/>
        <v>12508642.444444444</v>
      </c>
      <c r="E198" s="780">
        <f t="shared" si="11"/>
        <v>424021.77777777775</v>
      </c>
      <c r="F198" s="727">
        <f t="shared" si="7"/>
        <v>12084620.666666666</v>
      </c>
      <c r="G198" s="785">
        <f t="shared" si="8"/>
        <v>1836435.7363716376</v>
      </c>
      <c r="H198" s="786">
        <f t="shared" si="9"/>
        <v>1836435.7363716376</v>
      </c>
      <c r="I198" s="783">
        <f t="shared" si="10"/>
        <v>0</v>
      </c>
      <c r="J198" s="783"/>
      <c r="K198" s="803"/>
      <c r="L198" s="787"/>
      <c r="M198" s="803"/>
      <c r="N198" s="787"/>
      <c r="O198" s="787"/>
    </row>
    <row r="199" spans="3:15">
      <c r="C199" s="779">
        <f>IF(D185="","-",+C198+1)</f>
        <v>2021</v>
      </c>
      <c r="D199" s="727">
        <f t="shared" si="6"/>
        <v>12084620.666666666</v>
      </c>
      <c r="E199" s="780">
        <f t="shared" si="11"/>
        <v>424021.77777777775</v>
      </c>
      <c r="F199" s="727">
        <f t="shared" si="7"/>
        <v>11660598.888888888</v>
      </c>
      <c r="G199" s="785">
        <f t="shared" si="8"/>
        <v>1787731.8067649526</v>
      </c>
      <c r="H199" s="786">
        <f t="shared" si="9"/>
        <v>1787731.8067649526</v>
      </c>
      <c r="I199" s="783">
        <f t="shared" si="10"/>
        <v>0</v>
      </c>
      <c r="J199" s="783"/>
      <c r="K199" s="803"/>
      <c r="L199" s="787"/>
      <c r="M199" s="803"/>
      <c r="N199" s="787"/>
      <c r="O199" s="787"/>
    </row>
    <row r="200" spans="3:15">
      <c r="C200" s="779">
        <f>IF(D185="","-",+C199+1)</f>
        <v>2022</v>
      </c>
      <c r="D200" s="727">
        <f t="shared" si="6"/>
        <v>11660598.888888888</v>
      </c>
      <c r="E200" s="780">
        <f t="shared" si="11"/>
        <v>424021.77777777775</v>
      </c>
      <c r="F200" s="727">
        <f t="shared" si="7"/>
        <v>11236577.11111111</v>
      </c>
      <c r="G200" s="785">
        <f t="shared" si="8"/>
        <v>1739027.8771582679</v>
      </c>
      <c r="H200" s="786">
        <f t="shared" si="9"/>
        <v>1739027.8771582679</v>
      </c>
      <c r="I200" s="783">
        <f t="shared" si="10"/>
        <v>0</v>
      </c>
      <c r="J200" s="783"/>
      <c r="K200" s="803"/>
      <c r="L200" s="787"/>
      <c r="M200" s="803"/>
      <c r="N200" s="787"/>
      <c r="O200" s="787"/>
    </row>
    <row r="201" spans="3:15">
      <c r="C201" s="779">
        <f>IF(D185="","-",+C200+1)</f>
        <v>2023</v>
      </c>
      <c r="D201" s="727">
        <f t="shared" si="6"/>
        <v>11236577.11111111</v>
      </c>
      <c r="E201" s="780">
        <f t="shared" si="11"/>
        <v>424021.77777777775</v>
      </c>
      <c r="F201" s="727">
        <f t="shared" si="7"/>
        <v>10812555.333333332</v>
      </c>
      <c r="G201" s="785">
        <f t="shared" si="8"/>
        <v>1690323.9475515829</v>
      </c>
      <c r="H201" s="786">
        <f t="shared" si="9"/>
        <v>1690323.9475515829</v>
      </c>
      <c r="I201" s="783">
        <f t="shared" si="10"/>
        <v>0</v>
      </c>
      <c r="J201" s="783"/>
      <c r="K201" s="803"/>
      <c r="L201" s="787"/>
      <c r="M201" s="803"/>
      <c r="N201" s="787"/>
      <c r="O201" s="787"/>
    </row>
    <row r="202" spans="3:15">
      <c r="C202" s="779">
        <f>IF(D185="","-",+C201+1)</f>
        <v>2024</v>
      </c>
      <c r="D202" s="727">
        <f t="shared" si="6"/>
        <v>10812555.333333332</v>
      </c>
      <c r="E202" s="780">
        <f t="shared" si="11"/>
        <v>424021.77777777775</v>
      </c>
      <c r="F202" s="727">
        <f t="shared" si="7"/>
        <v>10388533.555555554</v>
      </c>
      <c r="G202" s="785">
        <f t="shared" si="8"/>
        <v>1641620.0179448982</v>
      </c>
      <c r="H202" s="786">
        <f t="shared" si="9"/>
        <v>1641620.0179448982</v>
      </c>
      <c r="I202" s="783">
        <f t="shared" si="10"/>
        <v>0</v>
      </c>
      <c r="J202" s="783"/>
      <c r="K202" s="803"/>
      <c r="L202" s="787"/>
      <c r="M202" s="803"/>
      <c r="N202" s="787"/>
      <c r="O202" s="787"/>
    </row>
    <row r="203" spans="3:15">
      <c r="C203" s="779">
        <f>IF(D185="","-",+C202+1)</f>
        <v>2025</v>
      </c>
      <c r="D203" s="727">
        <f t="shared" si="6"/>
        <v>10388533.555555554</v>
      </c>
      <c r="E203" s="780">
        <f t="shared" si="11"/>
        <v>424021.77777777775</v>
      </c>
      <c r="F203" s="727">
        <f t="shared" si="7"/>
        <v>9964511.7777777761</v>
      </c>
      <c r="G203" s="785">
        <f t="shared" si="8"/>
        <v>1592916.0883382133</v>
      </c>
      <c r="H203" s="786">
        <f t="shared" si="9"/>
        <v>1592916.0883382133</v>
      </c>
      <c r="I203" s="783">
        <f t="shared" si="10"/>
        <v>0</v>
      </c>
      <c r="J203" s="783"/>
      <c r="K203" s="803"/>
      <c r="L203" s="787"/>
      <c r="M203" s="803"/>
      <c r="N203" s="788"/>
      <c r="O203" s="787"/>
    </row>
    <row r="204" spans="3:15">
      <c r="C204" s="779">
        <f>IF(D185="","-",+C203+1)</f>
        <v>2026</v>
      </c>
      <c r="D204" s="727">
        <f t="shared" si="6"/>
        <v>9964511.7777777761</v>
      </c>
      <c r="E204" s="780">
        <f t="shared" si="11"/>
        <v>424021.77777777775</v>
      </c>
      <c r="F204" s="727">
        <f t="shared" si="7"/>
        <v>9540489.9999999981</v>
      </c>
      <c r="G204" s="785">
        <f t="shared" si="8"/>
        <v>1544212.1587315286</v>
      </c>
      <c r="H204" s="786">
        <f t="shared" si="9"/>
        <v>1544212.1587315286</v>
      </c>
      <c r="I204" s="783">
        <f t="shared" si="10"/>
        <v>0</v>
      </c>
      <c r="J204" s="783"/>
      <c r="K204" s="803"/>
      <c r="L204" s="787"/>
      <c r="M204" s="803"/>
      <c r="N204" s="787"/>
      <c r="O204" s="787"/>
    </row>
    <row r="205" spans="3:15">
      <c r="C205" s="779">
        <f>IF(D185="","-",+C204+1)</f>
        <v>2027</v>
      </c>
      <c r="D205" s="727">
        <f t="shared" si="6"/>
        <v>9540489.9999999981</v>
      </c>
      <c r="E205" s="780">
        <f t="shared" si="11"/>
        <v>424021.77777777775</v>
      </c>
      <c r="F205" s="727">
        <f t="shared" si="7"/>
        <v>9116468.2222222202</v>
      </c>
      <c r="G205" s="785">
        <f t="shared" si="8"/>
        <v>1495508.2291248434</v>
      </c>
      <c r="H205" s="786">
        <f t="shared" si="9"/>
        <v>1495508.2291248434</v>
      </c>
      <c r="I205" s="783">
        <f t="shared" si="10"/>
        <v>0</v>
      </c>
      <c r="J205" s="783"/>
      <c r="K205" s="803"/>
      <c r="L205" s="787"/>
      <c r="M205" s="803"/>
      <c r="N205" s="787"/>
      <c r="O205" s="787"/>
    </row>
    <row r="206" spans="3:15">
      <c r="C206" s="779">
        <f>IF(D185="","-",+C205+1)</f>
        <v>2028</v>
      </c>
      <c r="D206" s="727">
        <f t="shared" si="6"/>
        <v>9116468.2222222202</v>
      </c>
      <c r="E206" s="780">
        <f t="shared" si="11"/>
        <v>424021.77777777775</v>
      </c>
      <c r="F206" s="727">
        <f t="shared" si="7"/>
        <v>8692446.4444444422</v>
      </c>
      <c r="G206" s="785">
        <f t="shared" si="8"/>
        <v>1446804.2995181589</v>
      </c>
      <c r="H206" s="786">
        <f t="shared" si="9"/>
        <v>1446804.2995181589</v>
      </c>
      <c r="I206" s="783">
        <f t="shared" si="10"/>
        <v>0</v>
      </c>
      <c r="J206" s="783"/>
      <c r="K206" s="803"/>
      <c r="L206" s="787"/>
      <c r="M206" s="803"/>
      <c r="N206" s="787"/>
      <c r="O206" s="787"/>
    </row>
    <row r="207" spans="3:15">
      <c r="C207" s="779">
        <f>IF(D185="","-",+C206+1)</f>
        <v>2029</v>
      </c>
      <c r="D207" s="727">
        <f t="shared" si="6"/>
        <v>8692446.4444444422</v>
      </c>
      <c r="E207" s="780">
        <f t="shared" si="11"/>
        <v>424021.77777777775</v>
      </c>
      <c r="F207" s="727">
        <f t="shared" si="7"/>
        <v>8268424.6666666642</v>
      </c>
      <c r="G207" s="785">
        <f t="shared" si="8"/>
        <v>1398100.3699114737</v>
      </c>
      <c r="H207" s="786">
        <f t="shared" si="9"/>
        <v>1398100.3699114737</v>
      </c>
      <c r="I207" s="783">
        <f t="shared" si="10"/>
        <v>0</v>
      </c>
      <c r="J207" s="783"/>
      <c r="K207" s="803"/>
      <c r="L207" s="787"/>
      <c r="M207" s="803"/>
      <c r="N207" s="787"/>
      <c r="O207" s="787"/>
    </row>
    <row r="208" spans="3:15">
      <c r="C208" s="779">
        <f>IF(D185="","-",+C207+1)</f>
        <v>2030</v>
      </c>
      <c r="D208" s="727">
        <f t="shared" si="6"/>
        <v>8268424.6666666642</v>
      </c>
      <c r="E208" s="780">
        <f t="shared" si="11"/>
        <v>424021.77777777775</v>
      </c>
      <c r="F208" s="727">
        <f t="shared" si="7"/>
        <v>7844402.8888888862</v>
      </c>
      <c r="G208" s="785">
        <f t="shared" si="8"/>
        <v>1349396.4403047892</v>
      </c>
      <c r="H208" s="786">
        <f t="shared" si="9"/>
        <v>1349396.4403047892</v>
      </c>
      <c r="I208" s="783">
        <f t="shared" si="10"/>
        <v>0</v>
      </c>
      <c r="J208" s="783"/>
      <c r="K208" s="803"/>
      <c r="L208" s="787"/>
      <c r="M208" s="803"/>
      <c r="N208" s="787"/>
      <c r="O208" s="787"/>
    </row>
    <row r="209" spans="3:15">
      <c r="C209" s="779">
        <f>IF(D185="","-",+C208+1)</f>
        <v>2031</v>
      </c>
      <c r="D209" s="727">
        <f t="shared" si="6"/>
        <v>7844402.8888888862</v>
      </c>
      <c r="E209" s="780">
        <f t="shared" si="11"/>
        <v>424021.77777777775</v>
      </c>
      <c r="F209" s="727">
        <f t="shared" si="7"/>
        <v>7420381.1111111082</v>
      </c>
      <c r="G209" s="785">
        <f t="shared" si="8"/>
        <v>1300692.5106981043</v>
      </c>
      <c r="H209" s="786">
        <f t="shared" si="9"/>
        <v>1300692.5106981043</v>
      </c>
      <c r="I209" s="783">
        <f t="shared" si="10"/>
        <v>0</v>
      </c>
      <c r="J209" s="783"/>
      <c r="K209" s="803"/>
      <c r="L209" s="787"/>
      <c r="M209" s="803"/>
      <c r="N209" s="787"/>
      <c r="O209" s="787"/>
    </row>
    <row r="210" spans="3:15">
      <c r="C210" s="779">
        <f>IF(D185="","-",+C209+1)</f>
        <v>2032</v>
      </c>
      <c r="D210" s="727">
        <f t="shared" si="6"/>
        <v>7420381.1111111082</v>
      </c>
      <c r="E210" s="780">
        <f t="shared" si="11"/>
        <v>424021.77777777775</v>
      </c>
      <c r="F210" s="727">
        <f t="shared" si="7"/>
        <v>6996359.3333333302</v>
      </c>
      <c r="G210" s="785">
        <f t="shared" si="8"/>
        <v>1251988.5810914193</v>
      </c>
      <c r="H210" s="786">
        <f t="shared" si="9"/>
        <v>1251988.5810914193</v>
      </c>
      <c r="I210" s="783">
        <f t="shared" si="10"/>
        <v>0</v>
      </c>
      <c r="J210" s="783"/>
      <c r="K210" s="803"/>
      <c r="L210" s="787"/>
      <c r="M210" s="803"/>
      <c r="N210" s="787"/>
      <c r="O210" s="787"/>
    </row>
    <row r="211" spans="3:15">
      <c r="C211" s="779">
        <f>IF(D185="","-",+C210+1)</f>
        <v>2033</v>
      </c>
      <c r="D211" s="727">
        <f t="shared" si="6"/>
        <v>6996359.3333333302</v>
      </c>
      <c r="E211" s="780">
        <f t="shared" si="11"/>
        <v>424021.77777777775</v>
      </c>
      <c r="F211" s="727">
        <f t="shared" si="7"/>
        <v>6572337.5555555522</v>
      </c>
      <c r="G211" s="785">
        <f t="shared" si="8"/>
        <v>1203284.6514847344</v>
      </c>
      <c r="H211" s="786">
        <f t="shared" si="9"/>
        <v>1203284.6514847344</v>
      </c>
      <c r="I211" s="783">
        <f t="shared" si="10"/>
        <v>0</v>
      </c>
      <c r="J211" s="783"/>
      <c r="K211" s="803"/>
      <c r="L211" s="787"/>
      <c r="M211" s="803"/>
      <c r="N211" s="787"/>
      <c r="O211" s="787"/>
    </row>
    <row r="212" spans="3:15">
      <c r="C212" s="779">
        <f>IF(D185="","-",+C211+1)</f>
        <v>2034</v>
      </c>
      <c r="D212" s="727">
        <f t="shared" si="6"/>
        <v>6572337.5555555522</v>
      </c>
      <c r="E212" s="780">
        <f t="shared" si="11"/>
        <v>424021.77777777775</v>
      </c>
      <c r="F212" s="727">
        <f t="shared" si="7"/>
        <v>6148315.7777777743</v>
      </c>
      <c r="G212" s="785">
        <f t="shared" si="8"/>
        <v>1154580.7218780497</v>
      </c>
      <c r="H212" s="786">
        <f t="shared" si="9"/>
        <v>1154580.7218780497</v>
      </c>
      <c r="I212" s="783">
        <f t="shared" si="10"/>
        <v>0</v>
      </c>
      <c r="J212" s="783"/>
      <c r="K212" s="803"/>
      <c r="L212" s="787"/>
      <c r="M212" s="803"/>
      <c r="N212" s="787"/>
      <c r="O212" s="787"/>
    </row>
    <row r="213" spans="3:15">
      <c r="C213" s="779">
        <f>IF(D185="","-",+C212+1)</f>
        <v>2035</v>
      </c>
      <c r="D213" s="727">
        <f t="shared" si="6"/>
        <v>6148315.7777777743</v>
      </c>
      <c r="E213" s="780">
        <f t="shared" si="11"/>
        <v>424021.77777777775</v>
      </c>
      <c r="F213" s="727">
        <f t="shared" si="7"/>
        <v>5724293.9999999963</v>
      </c>
      <c r="G213" s="785">
        <f t="shared" si="8"/>
        <v>1105876.7922713649</v>
      </c>
      <c r="H213" s="786">
        <f t="shared" si="9"/>
        <v>1105876.7922713649</v>
      </c>
      <c r="I213" s="783">
        <f t="shared" si="10"/>
        <v>0</v>
      </c>
      <c r="J213" s="783"/>
      <c r="K213" s="803"/>
      <c r="L213" s="787"/>
      <c r="M213" s="803"/>
      <c r="N213" s="787"/>
      <c r="O213" s="787"/>
    </row>
    <row r="214" spans="3:15">
      <c r="C214" s="779">
        <f>IF(D185="","-",+C213+1)</f>
        <v>2036</v>
      </c>
      <c r="D214" s="727">
        <f t="shared" si="6"/>
        <v>5724293.9999999963</v>
      </c>
      <c r="E214" s="780">
        <f t="shared" si="11"/>
        <v>424021.77777777775</v>
      </c>
      <c r="F214" s="727">
        <f t="shared" si="7"/>
        <v>5300272.2222222183</v>
      </c>
      <c r="G214" s="785">
        <f t="shared" si="8"/>
        <v>1057172.86266468</v>
      </c>
      <c r="H214" s="786">
        <f t="shared" si="9"/>
        <v>1057172.86266468</v>
      </c>
      <c r="I214" s="783">
        <f t="shared" si="10"/>
        <v>0</v>
      </c>
      <c r="J214" s="783"/>
      <c r="K214" s="803"/>
      <c r="L214" s="787"/>
      <c r="M214" s="803"/>
      <c r="N214" s="787"/>
      <c r="O214" s="787"/>
    </row>
    <row r="215" spans="3:15">
      <c r="C215" s="779">
        <f>IF(D185="","-",+C214+1)</f>
        <v>2037</v>
      </c>
      <c r="D215" s="727">
        <f t="shared" si="6"/>
        <v>5300272.2222222183</v>
      </c>
      <c r="E215" s="780">
        <f t="shared" si="11"/>
        <v>424021.77777777775</v>
      </c>
      <c r="F215" s="727">
        <f t="shared" si="7"/>
        <v>4876250.4444444403</v>
      </c>
      <c r="G215" s="785">
        <f t="shared" si="8"/>
        <v>1008468.9330579952</v>
      </c>
      <c r="H215" s="786">
        <f t="shared" si="9"/>
        <v>1008468.9330579952</v>
      </c>
      <c r="I215" s="783">
        <f t="shared" si="10"/>
        <v>0</v>
      </c>
      <c r="J215" s="783"/>
      <c r="K215" s="803"/>
      <c r="L215" s="787"/>
      <c r="M215" s="803"/>
      <c r="N215" s="787"/>
      <c r="O215" s="787"/>
    </row>
    <row r="216" spans="3:15">
      <c r="C216" s="779">
        <f>IF(D185="","-",+C215+1)</f>
        <v>2038</v>
      </c>
      <c r="D216" s="727">
        <f t="shared" si="6"/>
        <v>4876250.4444444403</v>
      </c>
      <c r="E216" s="780">
        <f t="shared" si="11"/>
        <v>424021.77777777775</v>
      </c>
      <c r="F216" s="727">
        <f t="shared" si="7"/>
        <v>4452228.6666666623</v>
      </c>
      <c r="G216" s="785">
        <f t="shared" si="8"/>
        <v>959765.00345131033</v>
      </c>
      <c r="H216" s="786">
        <f t="shared" si="9"/>
        <v>959765.00345131033</v>
      </c>
      <c r="I216" s="783">
        <f t="shared" si="10"/>
        <v>0</v>
      </c>
      <c r="J216" s="783"/>
      <c r="K216" s="803"/>
      <c r="L216" s="787"/>
      <c r="M216" s="803"/>
      <c r="N216" s="787"/>
      <c r="O216" s="787"/>
    </row>
    <row r="217" spans="3:15">
      <c r="C217" s="779">
        <f>IF(D185="","-",+C216+1)</f>
        <v>2039</v>
      </c>
      <c r="D217" s="727">
        <f t="shared" si="6"/>
        <v>4452228.6666666623</v>
      </c>
      <c r="E217" s="780">
        <f t="shared" si="11"/>
        <v>424021.77777777775</v>
      </c>
      <c r="F217" s="727">
        <f t="shared" si="7"/>
        <v>4028206.8888888843</v>
      </c>
      <c r="G217" s="785">
        <f t="shared" si="8"/>
        <v>911061.07384462538</v>
      </c>
      <c r="H217" s="786">
        <f t="shared" si="9"/>
        <v>911061.07384462538</v>
      </c>
      <c r="I217" s="783">
        <f t="shared" si="10"/>
        <v>0</v>
      </c>
      <c r="J217" s="783"/>
      <c r="K217" s="803"/>
      <c r="L217" s="787"/>
      <c r="M217" s="803"/>
      <c r="N217" s="787"/>
      <c r="O217" s="787"/>
    </row>
    <row r="218" spans="3:15">
      <c r="C218" s="779">
        <f>IF(D185="","-",+C217+1)</f>
        <v>2040</v>
      </c>
      <c r="D218" s="727">
        <f t="shared" si="6"/>
        <v>4028206.8888888843</v>
      </c>
      <c r="E218" s="780">
        <f t="shared" si="11"/>
        <v>424021.77777777775</v>
      </c>
      <c r="F218" s="727">
        <f t="shared" si="7"/>
        <v>3604185.1111111064</v>
      </c>
      <c r="G218" s="785">
        <f t="shared" si="8"/>
        <v>862357.14423794067</v>
      </c>
      <c r="H218" s="786">
        <f t="shared" si="9"/>
        <v>862357.14423794067</v>
      </c>
      <c r="I218" s="783">
        <f t="shared" si="10"/>
        <v>0</v>
      </c>
      <c r="J218" s="783"/>
      <c r="K218" s="803"/>
      <c r="L218" s="787"/>
      <c r="M218" s="803"/>
      <c r="N218" s="787"/>
      <c r="O218" s="787"/>
    </row>
    <row r="219" spans="3:15">
      <c r="C219" s="779">
        <f>IF(D185="","-",+C218+1)</f>
        <v>2041</v>
      </c>
      <c r="D219" s="727">
        <f t="shared" si="6"/>
        <v>3604185.1111111064</v>
      </c>
      <c r="E219" s="780">
        <f t="shared" si="11"/>
        <v>424021.77777777775</v>
      </c>
      <c r="F219" s="727">
        <f t="shared" si="7"/>
        <v>3180163.3333333284</v>
      </c>
      <c r="G219" s="781">
        <f t="shared" si="8"/>
        <v>813653.21463125572</v>
      </c>
      <c r="H219" s="786">
        <f t="shared" si="9"/>
        <v>813653.21463125572</v>
      </c>
      <c r="I219" s="783">
        <f t="shared" si="10"/>
        <v>0</v>
      </c>
      <c r="J219" s="783"/>
      <c r="K219" s="803"/>
      <c r="L219" s="787"/>
      <c r="M219" s="803"/>
      <c r="N219" s="787"/>
      <c r="O219" s="787"/>
    </row>
    <row r="220" spans="3:15">
      <c r="C220" s="779">
        <f>IF(D185="","-",+C219+1)</f>
        <v>2042</v>
      </c>
      <c r="D220" s="727">
        <f t="shared" si="6"/>
        <v>3180163.3333333284</v>
      </c>
      <c r="E220" s="780">
        <f t="shared" si="11"/>
        <v>424021.77777777775</v>
      </c>
      <c r="F220" s="727">
        <f t="shared" si="7"/>
        <v>2756141.5555555504</v>
      </c>
      <c r="G220" s="785">
        <f t="shared" si="8"/>
        <v>764949.285024571</v>
      </c>
      <c r="H220" s="786">
        <f t="shared" si="9"/>
        <v>764949.285024571</v>
      </c>
      <c r="I220" s="783">
        <f t="shared" si="10"/>
        <v>0</v>
      </c>
      <c r="J220" s="783"/>
      <c r="K220" s="803"/>
      <c r="L220" s="787"/>
      <c r="M220" s="803"/>
      <c r="N220" s="787"/>
      <c r="O220" s="787"/>
    </row>
    <row r="221" spans="3:15">
      <c r="C221" s="779">
        <f>IF(D185="","-",+C220+1)</f>
        <v>2043</v>
      </c>
      <c r="D221" s="727">
        <f t="shared" si="6"/>
        <v>2756141.5555555504</v>
      </c>
      <c r="E221" s="780">
        <f t="shared" si="11"/>
        <v>424021.77777777775</v>
      </c>
      <c r="F221" s="727">
        <f t="shared" si="7"/>
        <v>2332119.7777777724</v>
      </c>
      <c r="G221" s="785">
        <f t="shared" si="8"/>
        <v>716245.35541788605</v>
      </c>
      <c r="H221" s="786">
        <f t="shared" si="9"/>
        <v>716245.35541788605</v>
      </c>
      <c r="I221" s="783">
        <f t="shared" si="10"/>
        <v>0</v>
      </c>
      <c r="J221" s="783"/>
      <c r="K221" s="803"/>
      <c r="L221" s="787"/>
      <c r="M221" s="803"/>
      <c r="N221" s="787"/>
      <c r="O221" s="787"/>
    </row>
    <row r="222" spans="3:15">
      <c r="C222" s="779">
        <f>IF(D185="","-",+C221+1)</f>
        <v>2044</v>
      </c>
      <c r="D222" s="727">
        <f t="shared" si="6"/>
        <v>2332119.7777777724</v>
      </c>
      <c r="E222" s="780">
        <f t="shared" si="11"/>
        <v>424021.77777777775</v>
      </c>
      <c r="F222" s="727">
        <f t="shared" si="7"/>
        <v>1908097.9999999946</v>
      </c>
      <c r="G222" s="785">
        <f t="shared" si="8"/>
        <v>667541.42581120122</v>
      </c>
      <c r="H222" s="786">
        <f t="shared" si="9"/>
        <v>667541.42581120122</v>
      </c>
      <c r="I222" s="783">
        <f t="shared" si="10"/>
        <v>0</v>
      </c>
      <c r="J222" s="783"/>
      <c r="K222" s="803"/>
      <c r="L222" s="787"/>
      <c r="M222" s="803"/>
      <c r="N222" s="787"/>
      <c r="O222" s="787"/>
    </row>
    <row r="223" spans="3:15">
      <c r="C223" s="779">
        <f>IF(D185="","-",+C222+1)</f>
        <v>2045</v>
      </c>
      <c r="D223" s="727">
        <f t="shared" si="6"/>
        <v>1908097.9999999946</v>
      </c>
      <c r="E223" s="780">
        <f t="shared" si="11"/>
        <v>424021.77777777775</v>
      </c>
      <c r="F223" s="727">
        <f t="shared" si="7"/>
        <v>1484076.2222222169</v>
      </c>
      <c r="G223" s="785">
        <f t="shared" si="8"/>
        <v>618837.49620451638</v>
      </c>
      <c r="H223" s="786">
        <f t="shared" si="9"/>
        <v>618837.49620451638</v>
      </c>
      <c r="I223" s="783">
        <f t="shared" si="10"/>
        <v>0</v>
      </c>
      <c r="J223" s="783"/>
      <c r="K223" s="803"/>
      <c r="L223" s="787"/>
      <c r="M223" s="803"/>
      <c r="N223" s="787"/>
      <c r="O223" s="787"/>
    </row>
    <row r="224" spans="3:15">
      <c r="C224" s="779">
        <f>IF(D185="","-",+C223+1)</f>
        <v>2046</v>
      </c>
      <c r="D224" s="727">
        <f t="shared" si="6"/>
        <v>1484076.2222222169</v>
      </c>
      <c r="E224" s="780">
        <f t="shared" si="11"/>
        <v>424021.77777777775</v>
      </c>
      <c r="F224" s="727">
        <f t="shared" si="7"/>
        <v>1060054.4444444391</v>
      </c>
      <c r="G224" s="785">
        <f t="shared" si="8"/>
        <v>570133.56659783155</v>
      </c>
      <c r="H224" s="786">
        <f t="shared" si="9"/>
        <v>570133.56659783155</v>
      </c>
      <c r="I224" s="783">
        <f t="shared" si="10"/>
        <v>0</v>
      </c>
      <c r="J224" s="783"/>
      <c r="K224" s="803"/>
      <c r="L224" s="787"/>
      <c r="M224" s="803"/>
      <c r="N224" s="787"/>
      <c r="O224" s="787"/>
    </row>
    <row r="225" spans="3:15">
      <c r="C225" s="779">
        <f>IF(D185="","-",+C224+1)</f>
        <v>2047</v>
      </c>
      <c r="D225" s="727">
        <f t="shared" si="6"/>
        <v>1060054.4444444391</v>
      </c>
      <c r="E225" s="780">
        <f t="shared" si="11"/>
        <v>424021.77777777775</v>
      </c>
      <c r="F225" s="727">
        <f t="shared" si="7"/>
        <v>636032.66666666139</v>
      </c>
      <c r="G225" s="785">
        <f t="shared" si="8"/>
        <v>521429.63699114678</v>
      </c>
      <c r="H225" s="786">
        <f t="shared" si="9"/>
        <v>521429.63699114678</v>
      </c>
      <c r="I225" s="783">
        <f t="shared" si="10"/>
        <v>0</v>
      </c>
      <c r="J225" s="783"/>
      <c r="K225" s="803"/>
      <c r="L225" s="787"/>
      <c r="M225" s="803"/>
      <c r="N225" s="787"/>
      <c r="O225" s="787"/>
    </row>
    <row r="226" spans="3:15">
      <c r="C226" s="779">
        <f>IF(D185="","-",+C225+1)</f>
        <v>2048</v>
      </c>
      <c r="D226" s="727">
        <f t="shared" si="6"/>
        <v>636032.66666666139</v>
      </c>
      <c r="E226" s="780">
        <f t="shared" si="11"/>
        <v>424021.77777777775</v>
      </c>
      <c r="F226" s="727">
        <f t="shared" si="7"/>
        <v>212010.88888888364</v>
      </c>
      <c r="G226" s="785">
        <f t="shared" si="8"/>
        <v>472725.70738446194</v>
      </c>
      <c r="H226" s="786">
        <f t="shared" si="9"/>
        <v>472725.70738446194</v>
      </c>
      <c r="I226" s="783">
        <f t="shared" si="10"/>
        <v>0</v>
      </c>
      <c r="J226" s="783"/>
      <c r="K226" s="803"/>
      <c r="L226" s="787"/>
      <c r="M226" s="803"/>
      <c r="N226" s="787"/>
      <c r="O226" s="787"/>
    </row>
    <row r="227" spans="3:15">
      <c r="C227" s="779">
        <f>IF(D185="","-",+C226+1)</f>
        <v>2049</v>
      </c>
      <c r="D227" s="727">
        <f t="shared" si="6"/>
        <v>212010.88888888364</v>
      </c>
      <c r="E227" s="780">
        <f t="shared" si="11"/>
        <v>212010.88888888364</v>
      </c>
      <c r="F227" s="727">
        <f t="shared" si="7"/>
        <v>0</v>
      </c>
      <c r="G227" s="785">
        <f t="shared" si="8"/>
        <v>224186.87129055455</v>
      </c>
      <c r="H227" s="786">
        <f t="shared" si="9"/>
        <v>224186.87129055455</v>
      </c>
      <c r="I227" s="783">
        <f t="shared" si="10"/>
        <v>0</v>
      </c>
      <c r="J227" s="783"/>
      <c r="K227" s="803"/>
      <c r="L227" s="787"/>
      <c r="M227" s="803"/>
      <c r="N227" s="787"/>
      <c r="O227" s="787"/>
    </row>
    <row r="228" spans="3:15">
      <c r="C228" s="779">
        <f>IF(D185="","-",+C227+1)</f>
        <v>2050</v>
      </c>
      <c r="D228" s="727">
        <f t="shared" si="6"/>
        <v>0</v>
      </c>
      <c r="E228" s="780">
        <f t="shared" si="11"/>
        <v>0</v>
      </c>
      <c r="F228" s="727">
        <f t="shared" si="7"/>
        <v>0</v>
      </c>
      <c r="G228" s="785">
        <f t="shared" si="8"/>
        <v>0</v>
      </c>
      <c r="H228" s="786">
        <f t="shared" si="9"/>
        <v>0</v>
      </c>
      <c r="I228" s="783">
        <f t="shared" si="10"/>
        <v>0</v>
      </c>
      <c r="J228" s="783"/>
      <c r="K228" s="803"/>
      <c r="L228" s="787"/>
      <c r="M228" s="803"/>
      <c r="N228" s="787"/>
      <c r="O228" s="787"/>
    </row>
    <row r="229" spans="3:15">
      <c r="C229" s="779">
        <f>IF(D185="","-",+C228+1)</f>
        <v>2051</v>
      </c>
      <c r="D229" s="727">
        <f t="shared" si="6"/>
        <v>0</v>
      </c>
      <c r="E229" s="780">
        <f t="shared" si="11"/>
        <v>0</v>
      </c>
      <c r="F229" s="727">
        <f t="shared" si="7"/>
        <v>0</v>
      </c>
      <c r="G229" s="785">
        <f t="shared" si="8"/>
        <v>0</v>
      </c>
      <c r="H229" s="786">
        <f t="shared" si="9"/>
        <v>0</v>
      </c>
      <c r="I229" s="783">
        <f t="shared" si="10"/>
        <v>0</v>
      </c>
      <c r="J229" s="783"/>
      <c r="K229" s="803"/>
      <c r="L229" s="787"/>
      <c r="M229" s="803"/>
      <c r="N229" s="787"/>
      <c r="O229" s="787"/>
    </row>
    <row r="230" spans="3:15">
      <c r="C230" s="779">
        <f>IF(D185="","-",+C229+1)</f>
        <v>2052</v>
      </c>
      <c r="D230" s="727">
        <f t="shared" si="6"/>
        <v>0</v>
      </c>
      <c r="E230" s="780">
        <f t="shared" si="11"/>
        <v>0</v>
      </c>
      <c r="F230" s="727">
        <f t="shared" si="7"/>
        <v>0</v>
      </c>
      <c r="G230" s="785">
        <f t="shared" si="8"/>
        <v>0</v>
      </c>
      <c r="H230" s="786">
        <f t="shared" si="9"/>
        <v>0</v>
      </c>
      <c r="I230" s="783">
        <f t="shared" si="10"/>
        <v>0</v>
      </c>
      <c r="J230" s="783"/>
      <c r="K230" s="803"/>
      <c r="L230" s="787"/>
      <c r="M230" s="803"/>
      <c r="N230" s="787"/>
      <c r="O230" s="787"/>
    </row>
    <row r="231" spans="3:15">
      <c r="C231" s="779">
        <f>IF(D185="","-",+C230+1)</f>
        <v>2053</v>
      </c>
      <c r="D231" s="727">
        <f t="shared" si="6"/>
        <v>0</v>
      </c>
      <c r="E231" s="780">
        <f t="shared" si="11"/>
        <v>0</v>
      </c>
      <c r="F231" s="727">
        <f t="shared" si="7"/>
        <v>0</v>
      </c>
      <c r="G231" s="785">
        <f t="shared" si="8"/>
        <v>0</v>
      </c>
      <c r="H231" s="786">
        <f t="shared" si="9"/>
        <v>0</v>
      </c>
      <c r="I231" s="783">
        <f t="shared" si="10"/>
        <v>0</v>
      </c>
      <c r="J231" s="783"/>
      <c r="K231" s="803"/>
      <c r="L231" s="787"/>
      <c r="M231" s="803"/>
      <c r="N231" s="787"/>
      <c r="O231" s="787"/>
    </row>
    <row r="232" spans="3:15">
      <c r="C232" s="779">
        <f>IF(D185="","-",+C231+1)</f>
        <v>2054</v>
      </c>
      <c r="D232" s="727">
        <f t="shared" si="6"/>
        <v>0</v>
      </c>
      <c r="E232" s="780">
        <f t="shared" si="11"/>
        <v>0</v>
      </c>
      <c r="F232" s="727">
        <f t="shared" si="7"/>
        <v>0</v>
      </c>
      <c r="G232" s="785">
        <f t="shared" si="8"/>
        <v>0</v>
      </c>
      <c r="H232" s="786">
        <f t="shared" si="9"/>
        <v>0</v>
      </c>
      <c r="I232" s="783">
        <f t="shared" si="10"/>
        <v>0</v>
      </c>
      <c r="J232" s="783"/>
      <c r="K232" s="803"/>
      <c r="L232" s="787"/>
      <c r="M232" s="803"/>
      <c r="N232" s="787"/>
      <c r="O232" s="787"/>
    </row>
    <row r="233" spans="3:15">
      <c r="C233" s="779">
        <f>IF(D185="","-",+C232+1)</f>
        <v>2055</v>
      </c>
      <c r="D233" s="727">
        <f t="shared" si="6"/>
        <v>0</v>
      </c>
      <c r="E233" s="780">
        <f t="shared" si="11"/>
        <v>0</v>
      </c>
      <c r="F233" s="727">
        <f t="shared" si="7"/>
        <v>0</v>
      </c>
      <c r="G233" s="785">
        <f t="shared" si="8"/>
        <v>0</v>
      </c>
      <c r="H233" s="786">
        <f t="shared" si="9"/>
        <v>0</v>
      </c>
      <c r="I233" s="783">
        <f t="shared" si="10"/>
        <v>0</v>
      </c>
      <c r="J233" s="783"/>
      <c r="K233" s="803"/>
      <c r="L233" s="787"/>
      <c r="M233" s="803"/>
      <c r="N233" s="787"/>
      <c r="O233" s="787"/>
    </row>
    <row r="234" spans="3:15">
      <c r="C234" s="779">
        <f>IF(D185="","-",+C233+1)</f>
        <v>2056</v>
      </c>
      <c r="D234" s="727">
        <f t="shared" si="6"/>
        <v>0</v>
      </c>
      <c r="E234" s="780">
        <f t="shared" si="11"/>
        <v>0</v>
      </c>
      <c r="F234" s="727">
        <f t="shared" si="7"/>
        <v>0</v>
      </c>
      <c r="G234" s="785">
        <f t="shared" si="8"/>
        <v>0</v>
      </c>
      <c r="H234" s="786">
        <f t="shared" si="9"/>
        <v>0</v>
      </c>
      <c r="I234" s="783">
        <f t="shared" si="10"/>
        <v>0</v>
      </c>
      <c r="J234" s="783"/>
      <c r="K234" s="803"/>
      <c r="L234" s="787"/>
      <c r="M234" s="803"/>
      <c r="N234" s="787"/>
      <c r="O234" s="787"/>
    </row>
    <row r="235" spans="3:15">
      <c r="C235" s="779">
        <f>IF(D185="","-",+C234+1)</f>
        <v>2057</v>
      </c>
      <c r="D235" s="727">
        <f t="shared" si="6"/>
        <v>0</v>
      </c>
      <c r="E235" s="780">
        <f t="shared" si="11"/>
        <v>0</v>
      </c>
      <c r="F235" s="727">
        <f t="shared" si="7"/>
        <v>0</v>
      </c>
      <c r="G235" s="785">
        <f t="shared" si="8"/>
        <v>0</v>
      </c>
      <c r="H235" s="786">
        <f t="shared" si="9"/>
        <v>0</v>
      </c>
      <c r="I235" s="783">
        <f t="shared" si="10"/>
        <v>0</v>
      </c>
      <c r="J235" s="783"/>
      <c r="K235" s="803"/>
      <c r="L235" s="787"/>
      <c r="M235" s="803"/>
      <c r="N235" s="787"/>
      <c r="O235" s="787"/>
    </row>
    <row r="236" spans="3:15">
      <c r="C236" s="779">
        <f>IF(D185="","-",+C235+1)</f>
        <v>2058</v>
      </c>
      <c r="D236" s="727">
        <f t="shared" si="6"/>
        <v>0</v>
      </c>
      <c r="E236" s="780">
        <f t="shared" si="11"/>
        <v>0</v>
      </c>
      <c r="F236" s="727">
        <f t="shared" si="7"/>
        <v>0</v>
      </c>
      <c r="G236" s="785">
        <f t="shared" si="8"/>
        <v>0</v>
      </c>
      <c r="H236" s="786">
        <f t="shared" si="9"/>
        <v>0</v>
      </c>
      <c r="I236" s="783">
        <f t="shared" si="10"/>
        <v>0</v>
      </c>
      <c r="J236" s="783"/>
      <c r="K236" s="803"/>
      <c r="L236" s="787"/>
      <c r="M236" s="803"/>
      <c r="N236" s="787"/>
      <c r="O236" s="787"/>
    </row>
    <row r="237" spans="3:15">
      <c r="C237" s="779">
        <f>IF(D185="","-",+C236+1)</f>
        <v>2059</v>
      </c>
      <c r="D237" s="727">
        <f t="shared" si="6"/>
        <v>0</v>
      </c>
      <c r="E237" s="780">
        <f t="shared" si="11"/>
        <v>0</v>
      </c>
      <c r="F237" s="727">
        <f t="shared" si="7"/>
        <v>0</v>
      </c>
      <c r="G237" s="785">
        <f t="shared" si="8"/>
        <v>0</v>
      </c>
      <c r="H237" s="786">
        <f t="shared" si="9"/>
        <v>0</v>
      </c>
      <c r="I237" s="783">
        <f t="shared" si="10"/>
        <v>0</v>
      </c>
      <c r="J237" s="783"/>
      <c r="K237" s="803"/>
      <c r="L237" s="787"/>
      <c r="M237" s="803"/>
      <c r="N237" s="787"/>
      <c r="O237" s="787"/>
    </row>
    <row r="238" spans="3:15">
      <c r="C238" s="779">
        <f>IF(D185="","-",+C237+1)</f>
        <v>2060</v>
      </c>
      <c r="D238" s="727">
        <f t="shared" si="6"/>
        <v>0</v>
      </c>
      <c r="E238" s="780">
        <f t="shared" si="11"/>
        <v>0</v>
      </c>
      <c r="F238" s="727">
        <f t="shared" si="7"/>
        <v>0</v>
      </c>
      <c r="G238" s="785">
        <f t="shared" si="8"/>
        <v>0</v>
      </c>
      <c r="H238" s="786">
        <f t="shared" si="9"/>
        <v>0</v>
      </c>
      <c r="I238" s="783">
        <f t="shared" si="10"/>
        <v>0</v>
      </c>
      <c r="J238" s="783"/>
      <c r="K238" s="803"/>
      <c r="L238" s="787"/>
      <c r="M238" s="803"/>
      <c r="N238" s="787"/>
      <c r="O238" s="787"/>
    </row>
    <row r="239" spans="3:15">
      <c r="C239" s="779">
        <f>IF(D185="","-",+C238+1)</f>
        <v>2061</v>
      </c>
      <c r="D239" s="727">
        <f t="shared" si="6"/>
        <v>0</v>
      </c>
      <c r="E239" s="780">
        <f t="shared" si="11"/>
        <v>0</v>
      </c>
      <c r="F239" s="727">
        <f t="shared" si="7"/>
        <v>0</v>
      </c>
      <c r="G239" s="785">
        <f t="shared" si="8"/>
        <v>0</v>
      </c>
      <c r="H239" s="786">
        <f t="shared" si="9"/>
        <v>0</v>
      </c>
      <c r="I239" s="783">
        <f t="shared" si="10"/>
        <v>0</v>
      </c>
      <c r="J239" s="783"/>
      <c r="K239" s="803"/>
      <c r="L239" s="787"/>
      <c r="M239" s="803"/>
      <c r="N239" s="787"/>
      <c r="O239" s="787"/>
    </row>
    <row r="240" spans="3:15">
      <c r="C240" s="779">
        <f>IF(D185="","-",+C239+1)</f>
        <v>2062</v>
      </c>
      <c r="D240" s="727">
        <f t="shared" si="6"/>
        <v>0</v>
      </c>
      <c r="E240" s="780">
        <f t="shared" si="11"/>
        <v>0</v>
      </c>
      <c r="F240" s="727">
        <f t="shared" si="7"/>
        <v>0</v>
      </c>
      <c r="G240" s="785">
        <f t="shared" si="8"/>
        <v>0</v>
      </c>
      <c r="H240" s="786">
        <f t="shared" si="9"/>
        <v>0</v>
      </c>
      <c r="I240" s="783">
        <f t="shared" si="10"/>
        <v>0</v>
      </c>
      <c r="J240" s="783"/>
      <c r="K240" s="803"/>
      <c r="L240" s="787"/>
      <c r="M240" s="803"/>
      <c r="N240" s="787"/>
      <c r="O240" s="787"/>
    </row>
    <row r="241" spans="3:15">
      <c r="C241" s="779">
        <f>IF(D185="","-",+C240+1)</f>
        <v>2063</v>
      </c>
      <c r="D241" s="727">
        <f t="shared" si="6"/>
        <v>0</v>
      </c>
      <c r="E241" s="780">
        <f t="shared" si="11"/>
        <v>0</v>
      </c>
      <c r="F241" s="727">
        <f t="shared" si="7"/>
        <v>0</v>
      </c>
      <c r="G241" s="785">
        <f t="shared" si="8"/>
        <v>0</v>
      </c>
      <c r="H241" s="786">
        <f t="shared" si="9"/>
        <v>0</v>
      </c>
      <c r="I241" s="783">
        <f t="shared" si="10"/>
        <v>0</v>
      </c>
      <c r="J241" s="783"/>
      <c r="K241" s="803"/>
      <c r="L241" s="787"/>
      <c r="M241" s="803"/>
      <c r="N241" s="787"/>
      <c r="O241" s="787"/>
    </row>
    <row r="242" spans="3:15">
      <c r="C242" s="779">
        <f>IF(D185="","-",+C241+1)</f>
        <v>2064</v>
      </c>
      <c r="D242" s="727">
        <f t="shared" si="6"/>
        <v>0</v>
      </c>
      <c r="E242" s="780">
        <f t="shared" si="11"/>
        <v>0</v>
      </c>
      <c r="F242" s="727">
        <f t="shared" si="7"/>
        <v>0</v>
      </c>
      <c r="G242" s="785">
        <f t="shared" si="8"/>
        <v>0</v>
      </c>
      <c r="H242" s="786">
        <f t="shared" si="9"/>
        <v>0</v>
      </c>
      <c r="I242" s="783">
        <f t="shared" si="10"/>
        <v>0</v>
      </c>
      <c r="J242" s="783"/>
      <c r="K242" s="803"/>
      <c r="L242" s="787"/>
      <c r="M242" s="803"/>
      <c r="N242" s="787"/>
      <c r="O242" s="787"/>
    </row>
    <row r="243" spans="3:15">
      <c r="C243" s="779">
        <f>IF(D185="","-",+C242+1)</f>
        <v>2065</v>
      </c>
      <c r="D243" s="727">
        <f t="shared" si="6"/>
        <v>0</v>
      </c>
      <c r="E243" s="780">
        <f t="shared" si="11"/>
        <v>0</v>
      </c>
      <c r="F243" s="727">
        <f t="shared" si="7"/>
        <v>0</v>
      </c>
      <c r="G243" s="785">
        <f t="shared" si="8"/>
        <v>0</v>
      </c>
      <c r="H243" s="786">
        <f t="shared" si="9"/>
        <v>0</v>
      </c>
      <c r="I243" s="783">
        <f t="shared" si="10"/>
        <v>0</v>
      </c>
      <c r="J243" s="783"/>
      <c r="K243" s="803"/>
      <c r="L243" s="787"/>
      <c r="M243" s="803"/>
      <c r="N243" s="787"/>
      <c r="O243" s="787"/>
    </row>
    <row r="244" spans="3:15">
      <c r="C244" s="779">
        <f>IF(D185="","-",+C243+1)</f>
        <v>2066</v>
      </c>
      <c r="D244" s="727">
        <f t="shared" si="6"/>
        <v>0</v>
      </c>
      <c r="E244" s="780">
        <f t="shared" si="11"/>
        <v>0</v>
      </c>
      <c r="F244" s="727">
        <f t="shared" si="7"/>
        <v>0</v>
      </c>
      <c r="G244" s="785">
        <f t="shared" si="8"/>
        <v>0</v>
      </c>
      <c r="H244" s="786">
        <f t="shared" si="9"/>
        <v>0</v>
      </c>
      <c r="I244" s="783">
        <f t="shared" si="10"/>
        <v>0</v>
      </c>
      <c r="J244" s="783"/>
      <c r="K244" s="803"/>
      <c r="L244" s="787"/>
      <c r="M244" s="803"/>
      <c r="N244" s="787"/>
      <c r="O244" s="787"/>
    </row>
    <row r="245" spans="3:15">
      <c r="C245" s="779">
        <f>IF(D185="","-",+C244+1)</f>
        <v>2067</v>
      </c>
      <c r="D245" s="727">
        <f t="shared" si="6"/>
        <v>0</v>
      </c>
      <c r="E245" s="780">
        <f t="shared" si="11"/>
        <v>0</v>
      </c>
      <c r="F245" s="727">
        <f t="shared" si="7"/>
        <v>0</v>
      </c>
      <c r="G245" s="785">
        <f t="shared" si="8"/>
        <v>0</v>
      </c>
      <c r="H245" s="786">
        <f t="shared" si="9"/>
        <v>0</v>
      </c>
      <c r="I245" s="783">
        <f t="shared" si="10"/>
        <v>0</v>
      </c>
      <c r="J245" s="783"/>
      <c r="K245" s="803"/>
      <c r="L245" s="787"/>
      <c r="M245" s="803"/>
      <c r="N245" s="787"/>
      <c r="O245" s="787"/>
    </row>
    <row r="246" spans="3:15">
      <c r="C246" s="779">
        <f>IF(D185="","-",+C245+1)</f>
        <v>2068</v>
      </c>
      <c r="D246" s="727">
        <f t="shared" si="6"/>
        <v>0</v>
      </c>
      <c r="E246" s="780">
        <f t="shared" si="11"/>
        <v>0</v>
      </c>
      <c r="F246" s="727">
        <f t="shared" si="7"/>
        <v>0</v>
      </c>
      <c r="G246" s="785">
        <f t="shared" si="8"/>
        <v>0</v>
      </c>
      <c r="H246" s="786">
        <f t="shared" si="9"/>
        <v>0</v>
      </c>
      <c r="I246" s="783">
        <f t="shared" si="10"/>
        <v>0</v>
      </c>
      <c r="J246" s="783"/>
      <c r="K246" s="803"/>
      <c r="L246" s="787"/>
      <c r="M246" s="803"/>
      <c r="N246" s="787"/>
      <c r="O246" s="787"/>
    </row>
    <row r="247" spans="3:15">
      <c r="C247" s="779">
        <f>IF(D185="","-",+C246+1)</f>
        <v>2069</v>
      </c>
      <c r="D247" s="727">
        <f t="shared" si="6"/>
        <v>0</v>
      </c>
      <c r="E247" s="780">
        <f t="shared" si="11"/>
        <v>0</v>
      </c>
      <c r="F247" s="727">
        <f t="shared" si="7"/>
        <v>0</v>
      </c>
      <c r="G247" s="785">
        <f t="shared" si="8"/>
        <v>0</v>
      </c>
      <c r="H247" s="786">
        <f t="shared" si="9"/>
        <v>0</v>
      </c>
      <c r="I247" s="783">
        <f t="shared" si="10"/>
        <v>0</v>
      </c>
      <c r="J247" s="783"/>
      <c r="K247" s="803"/>
      <c r="L247" s="787"/>
      <c r="M247" s="803"/>
      <c r="N247" s="787"/>
      <c r="O247" s="787"/>
    </row>
    <row r="248" spans="3:15">
      <c r="C248" s="779">
        <f>IF(D185="","-",+C247+1)</f>
        <v>2070</v>
      </c>
      <c r="D248" s="727">
        <f t="shared" si="6"/>
        <v>0</v>
      </c>
      <c r="E248" s="780">
        <f t="shared" si="11"/>
        <v>0</v>
      </c>
      <c r="F248" s="727">
        <f t="shared" si="7"/>
        <v>0</v>
      </c>
      <c r="G248" s="785">
        <f t="shared" si="8"/>
        <v>0</v>
      </c>
      <c r="H248" s="786">
        <f t="shared" si="9"/>
        <v>0</v>
      </c>
      <c r="I248" s="783">
        <f t="shared" si="10"/>
        <v>0</v>
      </c>
      <c r="J248" s="783"/>
      <c r="K248" s="803"/>
      <c r="L248" s="787"/>
      <c r="M248" s="803"/>
      <c r="N248" s="787"/>
      <c r="O248" s="787"/>
    </row>
    <row r="249" spans="3:15">
      <c r="C249" s="779">
        <f>IF(D185="","-",+C248+1)</f>
        <v>2071</v>
      </c>
      <c r="D249" s="727">
        <f t="shared" si="6"/>
        <v>0</v>
      </c>
      <c r="E249" s="780">
        <f t="shared" si="11"/>
        <v>0</v>
      </c>
      <c r="F249" s="727">
        <f t="shared" si="7"/>
        <v>0</v>
      </c>
      <c r="G249" s="785">
        <f t="shared" si="8"/>
        <v>0</v>
      </c>
      <c r="H249" s="786">
        <f t="shared" si="9"/>
        <v>0</v>
      </c>
      <c r="I249" s="783">
        <f t="shared" si="10"/>
        <v>0</v>
      </c>
      <c r="J249" s="783"/>
      <c r="K249" s="803"/>
      <c r="L249" s="787"/>
      <c r="M249" s="803"/>
      <c r="N249" s="787"/>
      <c r="O249" s="787"/>
    </row>
    <row r="250" spans="3:15" ht="13.5" thickBot="1">
      <c r="C250" s="789">
        <f>IF(D185="","-",+C249+1)</f>
        <v>2072</v>
      </c>
      <c r="D250" s="790">
        <f t="shared" si="6"/>
        <v>0</v>
      </c>
      <c r="E250" s="791">
        <f t="shared" si="11"/>
        <v>0</v>
      </c>
      <c r="F250" s="790">
        <f t="shared" si="7"/>
        <v>0</v>
      </c>
      <c r="G250" s="792">
        <f t="shared" si="8"/>
        <v>0</v>
      </c>
      <c r="H250" s="792">
        <f t="shared" si="9"/>
        <v>0</v>
      </c>
      <c r="I250" s="793">
        <f t="shared" si="10"/>
        <v>0</v>
      </c>
      <c r="J250" s="783"/>
      <c r="K250" s="804"/>
      <c r="L250" s="794"/>
      <c r="M250" s="804"/>
      <c r="N250" s="794"/>
      <c r="O250" s="794"/>
    </row>
    <row r="251" spans="3:15">
      <c r="C251" s="727" t="s">
        <v>93</v>
      </c>
      <c r="D251" s="721"/>
      <c r="E251" s="721">
        <f>SUM(E191:E250)</f>
        <v>15264784.000000002</v>
      </c>
      <c r="F251" s="721"/>
      <c r="G251" s="721">
        <f>SUM(G191:G250)</f>
        <v>47701601.11805208</v>
      </c>
      <c r="H251" s="721">
        <f>SUM(H191:H250)</f>
        <v>47701601.11805208</v>
      </c>
      <c r="I251" s="721">
        <f>SUM(I191:I250)</f>
        <v>0</v>
      </c>
      <c r="J251" s="721"/>
      <c r="K251" s="721"/>
      <c r="L251" s="721"/>
      <c r="M251" s="721"/>
      <c r="N251" s="721"/>
      <c r="O251" s="308"/>
    </row>
    <row r="252" spans="3:15">
      <c r="D252" s="529"/>
      <c r="E252" s="308"/>
      <c r="F252" s="308"/>
      <c r="G252" s="308"/>
      <c r="H252" s="699"/>
      <c r="I252" s="699"/>
      <c r="J252" s="721"/>
      <c r="K252" s="699"/>
      <c r="L252" s="699"/>
      <c r="M252" s="699"/>
      <c r="N252" s="699"/>
      <c r="O252" s="308"/>
    </row>
    <row r="253" spans="3:15">
      <c r="C253" s="308" t="s">
        <v>15</v>
      </c>
      <c r="D253" s="529"/>
      <c r="E253" s="308"/>
      <c r="F253" s="308"/>
      <c r="G253" s="308"/>
      <c r="H253" s="699"/>
      <c r="I253" s="699"/>
      <c r="J253" s="721"/>
      <c r="K253" s="699"/>
      <c r="L253" s="699"/>
      <c r="M253" s="699"/>
      <c r="N253" s="699"/>
      <c r="O253" s="308"/>
    </row>
    <row r="254" spans="3:15">
      <c r="C254" s="308"/>
      <c r="D254" s="529"/>
      <c r="E254" s="308"/>
      <c r="F254" s="308"/>
      <c r="G254" s="308"/>
      <c r="H254" s="699"/>
      <c r="I254" s="699"/>
      <c r="J254" s="721"/>
      <c r="K254" s="699"/>
      <c r="L254" s="699"/>
      <c r="M254" s="699"/>
      <c r="N254" s="699"/>
      <c r="O254" s="308"/>
    </row>
    <row r="255" spans="3:15">
      <c r="C255" s="740" t="s">
        <v>16</v>
      </c>
      <c r="D255" s="727"/>
      <c r="E255" s="727"/>
      <c r="F255" s="727"/>
      <c r="G255" s="721"/>
      <c r="H255" s="721"/>
      <c r="I255" s="795"/>
      <c r="J255" s="795"/>
      <c r="K255" s="795"/>
      <c r="L255" s="795"/>
      <c r="M255" s="795"/>
      <c r="N255" s="795"/>
      <c r="O255" s="308"/>
    </row>
    <row r="256" spans="3:15">
      <c r="C256" s="726" t="s">
        <v>273</v>
      </c>
      <c r="D256" s="727"/>
      <c r="E256" s="727"/>
      <c r="F256" s="727"/>
      <c r="G256" s="721"/>
      <c r="H256" s="721"/>
      <c r="I256" s="795"/>
      <c r="J256" s="795"/>
      <c r="K256" s="795"/>
      <c r="L256" s="795"/>
      <c r="M256" s="795"/>
      <c r="N256" s="795"/>
      <c r="O256" s="308"/>
    </row>
    <row r="257" spans="1:16">
      <c r="C257" s="726" t="s">
        <v>94</v>
      </c>
      <c r="D257" s="727"/>
      <c r="E257" s="727"/>
      <c r="F257" s="727"/>
      <c r="G257" s="721"/>
      <c r="H257" s="721"/>
      <c r="I257" s="795"/>
      <c r="J257" s="795"/>
      <c r="K257" s="795"/>
      <c r="L257" s="795"/>
      <c r="M257" s="795"/>
      <c r="N257" s="795"/>
      <c r="O257" s="308"/>
    </row>
    <row r="258" spans="1:16">
      <c r="C258" s="726"/>
      <c r="D258" s="727"/>
      <c r="E258" s="727"/>
      <c r="F258" s="727"/>
      <c r="G258" s="721"/>
      <c r="H258" s="721"/>
      <c r="I258" s="795"/>
      <c r="J258" s="795"/>
      <c r="K258" s="795"/>
      <c r="L258" s="795"/>
      <c r="M258" s="795"/>
      <c r="N258" s="795"/>
      <c r="O258" s="308"/>
    </row>
    <row r="259" spans="1:16">
      <c r="C259" s="1552" t="s">
        <v>8</v>
      </c>
      <c r="D259" s="1552"/>
      <c r="E259" s="1552"/>
      <c r="F259" s="1552"/>
      <c r="G259" s="1552"/>
      <c r="H259" s="1552"/>
      <c r="I259" s="1552"/>
      <c r="J259" s="1552"/>
      <c r="K259" s="1552"/>
      <c r="L259" s="1552"/>
      <c r="M259" s="1552"/>
      <c r="N259" s="1552"/>
      <c r="O259" s="1552"/>
    </row>
    <row r="260" spans="1:16">
      <c r="C260" s="1552"/>
      <c r="D260" s="1552"/>
      <c r="E260" s="1552"/>
      <c r="F260" s="1552"/>
      <c r="G260" s="1552"/>
      <c r="H260" s="1552"/>
      <c r="I260" s="1552"/>
      <c r="J260" s="1552"/>
      <c r="K260" s="1552"/>
      <c r="L260" s="1552"/>
      <c r="M260" s="1552"/>
      <c r="N260" s="1552"/>
      <c r="O260" s="1552"/>
    </row>
    <row r="261" spans="1:16" ht="20.25">
      <c r="A261" s="728" t="str">
        <f>""&amp;A185&amp;" Worksheet J -  ATRR PROJECTED Calculation for PJM Projects Charged to Benefiting Zones"</f>
        <v xml:space="preserve"> Worksheet J -  ATRR PROJECTED Calculation for PJM Projects Charged to Benefiting Zones</v>
      </c>
      <c r="B261" s="341"/>
      <c r="C261" s="716"/>
      <c r="D261" s="529"/>
      <c r="E261" s="308"/>
      <c r="F261" s="698"/>
      <c r="G261" s="308"/>
      <c r="H261" s="699"/>
      <c r="K261" s="555"/>
      <c r="L261" s="555"/>
      <c r="M261" s="555"/>
      <c r="N261" s="644" t="str">
        <f>"Page "&amp;SUM(P$8:P261)&amp;" of "</f>
        <v xml:space="preserve">Page 4 of </v>
      </c>
      <c r="O261" s="645">
        <f>COUNT(P$8:P$56656)</f>
        <v>11</v>
      </c>
      <c r="P261" s="172">
        <v>1</v>
      </c>
    </row>
    <row r="262" spans="1:16">
      <c r="B262" s="341"/>
      <c r="C262" s="308"/>
      <c r="D262" s="529"/>
      <c r="E262" s="308"/>
      <c r="F262" s="308"/>
      <c r="G262" s="308"/>
      <c r="H262" s="699"/>
      <c r="I262" s="308"/>
      <c r="J262" s="418"/>
      <c r="K262" s="308"/>
      <c r="L262" s="308"/>
      <c r="M262" s="308"/>
      <c r="N262" s="308"/>
      <c r="O262" s="308"/>
    </row>
    <row r="263" spans="1:16" ht="18">
      <c r="B263" s="648" t="s">
        <v>474</v>
      </c>
      <c r="C263" s="730" t="s">
        <v>95</v>
      </c>
      <c r="D263" s="529"/>
      <c r="E263" s="308"/>
      <c r="F263" s="308"/>
      <c r="G263" s="308"/>
      <c r="H263" s="699"/>
      <c r="I263" s="699"/>
      <c r="J263" s="721"/>
      <c r="K263" s="699"/>
      <c r="L263" s="699"/>
      <c r="M263" s="699"/>
      <c r="N263" s="699"/>
      <c r="O263" s="308"/>
    </row>
    <row r="264" spans="1:16" ht="18.75">
      <c r="B264" s="648"/>
      <c r="C264" s="647"/>
      <c r="D264" s="529"/>
      <c r="E264" s="308"/>
      <c r="F264" s="308"/>
      <c r="G264" s="308"/>
      <c r="H264" s="699"/>
      <c r="I264" s="699"/>
      <c r="J264" s="721"/>
      <c r="K264" s="699"/>
      <c r="L264" s="699"/>
      <c r="M264" s="699"/>
      <c r="N264" s="699"/>
      <c r="O264" s="308"/>
    </row>
    <row r="265" spans="1:16" ht="18.75">
      <c r="B265" s="648"/>
      <c r="C265" s="647" t="s">
        <v>96</v>
      </c>
      <c r="D265" s="529"/>
      <c r="E265" s="308"/>
      <c r="F265" s="308"/>
      <c r="G265" s="308"/>
      <c r="H265" s="699"/>
      <c r="I265" s="699"/>
      <c r="J265" s="721"/>
      <c r="K265" s="699"/>
      <c r="L265" s="699"/>
      <c r="M265" s="699"/>
      <c r="N265" s="699"/>
      <c r="O265" s="308"/>
    </row>
    <row r="266" spans="1:16" ht="15.75" thickBot="1">
      <c r="C266" s="239"/>
      <c r="D266" s="529"/>
      <c r="E266" s="308"/>
      <c r="F266" s="308"/>
      <c r="G266" s="308"/>
      <c r="H266" s="699"/>
      <c r="I266" s="699"/>
      <c r="J266" s="721"/>
      <c r="K266" s="699"/>
      <c r="L266" s="699"/>
      <c r="M266" s="699"/>
      <c r="N266" s="699"/>
      <c r="O266" s="308"/>
    </row>
    <row r="267" spans="1:16" ht="15.75">
      <c r="C267" s="650" t="s">
        <v>97</v>
      </c>
      <c r="D267" s="529"/>
      <c r="E267" s="308"/>
      <c r="F267" s="308"/>
      <c r="G267" s="797"/>
      <c r="H267" s="308" t="s">
        <v>76</v>
      </c>
      <c r="I267" s="308"/>
      <c r="J267" s="418"/>
      <c r="K267" s="731" t="s">
        <v>101</v>
      </c>
      <c r="L267" s="732"/>
      <c r="M267" s="733"/>
      <c r="N267" s="734">
        <f>IF(I273=0,0,VLOOKUP(I273,C280:O339,5))</f>
        <v>670653.28260402102</v>
      </c>
      <c r="O267" s="308"/>
    </row>
    <row r="268" spans="1:16" ht="15.75">
      <c r="C268" s="650"/>
      <c r="D268" s="529"/>
      <c r="E268" s="308"/>
      <c r="F268" s="308"/>
      <c r="G268" s="308"/>
      <c r="H268" s="735"/>
      <c r="I268" s="735"/>
      <c r="J268" s="736"/>
      <c r="K268" s="737" t="s">
        <v>102</v>
      </c>
      <c r="L268" s="738"/>
      <c r="M268" s="418"/>
      <c r="N268" s="739">
        <f>IF(I273=0,0,VLOOKUP(I273,C280:O339,6))</f>
        <v>670653.28260402102</v>
      </c>
      <c r="O268" s="308"/>
    </row>
    <row r="269" spans="1:16" ht="13.5" thickBot="1">
      <c r="C269" s="740" t="s">
        <v>98</v>
      </c>
      <c r="D269" s="1553" t="s">
        <v>817</v>
      </c>
      <c r="E269" s="1553"/>
      <c r="F269" s="1553"/>
      <c r="G269" s="1553"/>
      <c r="H269" s="1553"/>
      <c r="I269" s="1553"/>
      <c r="J269" s="721"/>
      <c r="K269" s="741" t="s">
        <v>240</v>
      </c>
      <c r="L269" s="742"/>
      <c r="M269" s="742"/>
      <c r="N269" s="743">
        <f>+N268-N267</f>
        <v>0</v>
      </c>
      <c r="O269" s="308"/>
    </row>
    <row r="270" spans="1:16">
      <c r="C270" s="744"/>
      <c r="D270" s="1553"/>
      <c r="E270" s="1553"/>
      <c r="F270" s="1553"/>
      <c r="G270" s="1553"/>
      <c r="H270" s="1553"/>
      <c r="I270" s="1553"/>
      <c r="J270" s="721"/>
      <c r="K270" s="699"/>
      <c r="L270" s="699"/>
      <c r="M270" s="699"/>
      <c r="N270" s="699"/>
      <c r="O270" s="308"/>
    </row>
    <row r="271" spans="1:16" ht="13.5" thickBot="1">
      <c r="C271" s="747"/>
      <c r="D271" s="748"/>
      <c r="E271" s="746"/>
      <c r="F271" s="746"/>
      <c r="G271" s="746"/>
      <c r="H271" s="746"/>
      <c r="I271" s="746"/>
      <c r="J271" s="749"/>
      <c r="K271" s="746"/>
      <c r="L271" s="746"/>
      <c r="M271" s="746"/>
      <c r="N271" s="746"/>
      <c r="O271" s="341"/>
    </row>
    <row r="272" spans="1:16" ht="13.5" thickBot="1">
      <c r="C272" s="750" t="s">
        <v>99</v>
      </c>
      <c r="D272" s="751"/>
      <c r="E272" s="751"/>
      <c r="F272" s="751"/>
      <c r="G272" s="751"/>
      <c r="H272" s="751"/>
      <c r="I272" s="752"/>
      <c r="J272" s="753"/>
      <c r="K272" s="308"/>
      <c r="L272" s="308"/>
      <c r="M272" s="308"/>
      <c r="N272" s="308"/>
      <c r="O272" s="754"/>
    </row>
    <row r="273" spans="2:15" ht="15">
      <c r="C273" s="755" t="s">
        <v>77</v>
      </c>
      <c r="D273" s="799">
        <v>5805543</v>
      </c>
      <c r="E273" s="716" t="s">
        <v>78</v>
      </c>
      <c r="G273" s="756"/>
      <c r="H273" s="756"/>
      <c r="I273" s="757">
        <f>$L$26</f>
        <v>2022</v>
      </c>
      <c r="J273" s="545"/>
      <c r="K273" s="1554" t="s">
        <v>249</v>
      </c>
      <c r="L273" s="1554"/>
      <c r="M273" s="1554"/>
      <c r="N273" s="1554"/>
      <c r="O273" s="1554"/>
    </row>
    <row r="274" spans="2:15">
      <c r="C274" s="755" t="s">
        <v>80</v>
      </c>
      <c r="D274" s="800">
        <v>2013</v>
      </c>
      <c r="E274" s="755" t="s">
        <v>81</v>
      </c>
      <c r="F274" s="756"/>
      <c r="H274" s="172"/>
      <c r="I274" s="801">
        <f>IF(G267="",0,$F$17)</f>
        <v>0</v>
      </c>
      <c r="J274" s="758"/>
      <c r="K274" s="721" t="s">
        <v>249</v>
      </c>
    </row>
    <row r="275" spans="2:15">
      <c r="C275" s="755" t="s">
        <v>82</v>
      </c>
      <c r="D275" s="799">
        <v>12</v>
      </c>
      <c r="E275" s="755" t="s">
        <v>83</v>
      </c>
      <c r="F275" s="756"/>
      <c r="H275" s="172"/>
      <c r="I275" s="759">
        <f>$G$70</f>
        <v>0.11486185889303469</v>
      </c>
      <c r="J275" s="760"/>
      <c r="K275" s="172" t="str">
        <f>"          INPUT PROJECTED ARR (WITH &amp; WITHOUT INCENTIVES) FROM EACH PRIOR YEAR"</f>
        <v xml:space="preserve">          INPUT PROJECTED ARR (WITH &amp; WITHOUT INCENTIVES) FROM EACH PRIOR YEAR</v>
      </c>
    </row>
    <row r="276" spans="2:15">
      <c r="C276" s="755" t="s">
        <v>84</v>
      </c>
      <c r="D276" s="761">
        <f>$G$79</f>
        <v>36</v>
      </c>
      <c r="E276" s="755" t="s">
        <v>85</v>
      </c>
      <c r="F276" s="756"/>
      <c r="H276" s="172"/>
      <c r="I276" s="759">
        <f>IF(G267="",I275,$G$69)</f>
        <v>0.11486185889303469</v>
      </c>
      <c r="J276" s="762"/>
      <c r="K276" s="172" t="s">
        <v>162</v>
      </c>
    </row>
    <row r="277" spans="2:15" ht="13.5" thickBot="1">
      <c r="C277" s="755" t="s">
        <v>86</v>
      </c>
      <c r="D277" s="798" t="s">
        <v>814</v>
      </c>
      <c r="E277" s="763" t="s">
        <v>87</v>
      </c>
      <c r="F277" s="764"/>
      <c r="G277" s="765"/>
      <c r="H277" s="765"/>
      <c r="I277" s="743">
        <f>IF(D273=0,0,D273/D276)</f>
        <v>161265.08333333334</v>
      </c>
      <c r="J277" s="721"/>
      <c r="K277" s="721" t="s">
        <v>168</v>
      </c>
      <c r="L277" s="721"/>
      <c r="M277" s="721"/>
      <c r="N277" s="721"/>
      <c r="O277" s="418"/>
    </row>
    <row r="278" spans="2:15" ht="51">
      <c r="B278" s="836"/>
      <c r="C278" s="766" t="s">
        <v>77</v>
      </c>
      <c r="D278" s="767" t="s">
        <v>88</v>
      </c>
      <c r="E278" s="768" t="s">
        <v>89</v>
      </c>
      <c r="F278" s="767" t="s">
        <v>90</v>
      </c>
      <c r="G278" s="768" t="s">
        <v>161</v>
      </c>
      <c r="H278" s="769" t="s">
        <v>161</v>
      </c>
      <c r="I278" s="766" t="s">
        <v>100</v>
      </c>
      <c r="J278" s="770"/>
      <c r="K278" s="768" t="s">
        <v>170</v>
      </c>
      <c r="L278" s="771"/>
      <c r="M278" s="768" t="s">
        <v>170</v>
      </c>
      <c r="N278" s="771"/>
      <c r="O278" s="771"/>
    </row>
    <row r="279" spans="2:15" ht="13.5" thickBot="1">
      <c r="C279" s="772" t="s">
        <v>477</v>
      </c>
      <c r="D279" s="773" t="s">
        <v>478</v>
      </c>
      <c r="E279" s="772" t="s">
        <v>371</v>
      </c>
      <c r="F279" s="773" t="s">
        <v>478</v>
      </c>
      <c r="G279" s="774" t="s">
        <v>103</v>
      </c>
      <c r="H279" s="775" t="s">
        <v>105</v>
      </c>
      <c r="I279" s="776" t="s">
        <v>17</v>
      </c>
      <c r="J279" s="777"/>
      <c r="K279" s="774" t="s">
        <v>92</v>
      </c>
      <c r="L279" s="778"/>
      <c r="M279" s="774" t="s">
        <v>105</v>
      </c>
      <c r="N279" s="778"/>
      <c r="O279" s="778"/>
    </row>
    <row r="280" spans="2:15">
      <c r="C280" s="779">
        <f>IF(D274= "","-",D274)</f>
        <v>2013</v>
      </c>
      <c r="D280" s="727">
        <f>+D273</f>
        <v>5805543</v>
      </c>
      <c r="E280" s="780">
        <f>+I277/12*(12-D275)</f>
        <v>0</v>
      </c>
      <c r="F280" s="727">
        <f>+D280-E280</f>
        <v>5805543</v>
      </c>
      <c r="G280" s="988">
        <f>+$I$96*((D280+F280)/2)+E280</f>
        <v>666835.4608634453</v>
      </c>
      <c r="H280" s="989">
        <f>$I$97*((D280+F280)/2)+E280</f>
        <v>666835.4608634453</v>
      </c>
      <c r="I280" s="783">
        <f>+H280-G280</f>
        <v>0</v>
      </c>
      <c r="J280" s="783"/>
      <c r="K280" s="802">
        <v>461439</v>
      </c>
      <c r="L280" s="784"/>
      <c r="M280" s="802">
        <v>461439</v>
      </c>
      <c r="N280" s="784"/>
      <c r="O280" s="784"/>
    </row>
    <row r="281" spans="2:15">
      <c r="C281" s="779">
        <f>IF(D274="","-",+C280+1)</f>
        <v>2014</v>
      </c>
      <c r="D281" s="727">
        <f t="shared" ref="D281:D339" si="12">F280</f>
        <v>5805543</v>
      </c>
      <c r="E281" s="780">
        <f>IF(D281&gt;$I$277,$I$277,D281)</f>
        <v>161265.08333333334</v>
      </c>
      <c r="F281" s="727">
        <f t="shared" ref="F281:F339" si="13">+D281-E281</f>
        <v>5644277.916666667</v>
      </c>
      <c r="G281" s="785">
        <f t="shared" ref="G281:G339" si="14">+$I$96*((D281+F281)/2)+E281</f>
        <v>818838.94057367533</v>
      </c>
      <c r="H281" s="786">
        <f t="shared" ref="H281:H339" si="15">$I$97*((D281+F281)/2)+E281</f>
        <v>818838.94057367533</v>
      </c>
      <c r="I281" s="783">
        <f t="shared" ref="I281:I339" si="16">+H281-G281</f>
        <v>0</v>
      </c>
      <c r="J281" s="783"/>
      <c r="K281" s="803">
        <v>626067</v>
      </c>
      <c r="L281" s="787"/>
      <c r="M281" s="803">
        <v>626067</v>
      </c>
      <c r="N281" s="787"/>
      <c r="O281" s="787"/>
    </row>
    <row r="282" spans="2:15">
      <c r="C282" s="779">
        <f>IF(D274="","-",+C281+1)</f>
        <v>2015</v>
      </c>
      <c r="D282" s="727">
        <f t="shared" si="12"/>
        <v>5644277.916666667</v>
      </c>
      <c r="E282" s="780">
        <f t="shared" ref="E282:E339" si="17">IF(D282&gt;$I$277,$I$277,D282)</f>
        <v>161265.08333333334</v>
      </c>
      <c r="F282" s="727">
        <f t="shared" si="13"/>
        <v>5483012.833333334</v>
      </c>
      <c r="G282" s="785">
        <f t="shared" si="14"/>
        <v>800315.73332746839</v>
      </c>
      <c r="H282" s="786">
        <f t="shared" si="15"/>
        <v>800315.73332746839</v>
      </c>
      <c r="I282" s="783">
        <f t="shared" si="16"/>
        <v>0</v>
      </c>
      <c r="J282" s="783"/>
      <c r="K282" s="803">
        <v>697699</v>
      </c>
      <c r="L282" s="787"/>
      <c r="M282" s="803">
        <v>697699</v>
      </c>
      <c r="N282" s="787"/>
      <c r="O282" s="787"/>
    </row>
    <row r="283" spans="2:15">
      <c r="C283" s="779">
        <f>IF(D274="","-",+C282+1)</f>
        <v>2016</v>
      </c>
      <c r="D283" s="727">
        <f t="shared" si="12"/>
        <v>5483012.833333334</v>
      </c>
      <c r="E283" s="780">
        <f t="shared" si="17"/>
        <v>161265.08333333334</v>
      </c>
      <c r="F283" s="727">
        <f t="shared" si="13"/>
        <v>5321747.7500000009</v>
      </c>
      <c r="G283" s="785">
        <f t="shared" si="14"/>
        <v>781792.52608126169</v>
      </c>
      <c r="H283" s="786">
        <f t="shared" si="15"/>
        <v>781792.52608126169</v>
      </c>
      <c r="I283" s="783">
        <f t="shared" si="16"/>
        <v>0</v>
      </c>
      <c r="J283" s="783"/>
      <c r="K283" s="803">
        <v>692483</v>
      </c>
      <c r="L283" s="787"/>
      <c r="M283" s="803">
        <v>692483</v>
      </c>
      <c r="N283" s="787"/>
      <c r="O283" s="787"/>
    </row>
    <row r="284" spans="2:15">
      <c r="C284" s="779">
        <f>IF(D274="","-",+C283+1)</f>
        <v>2017</v>
      </c>
      <c r="D284" s="727">
        <f t="shared" si="12"/>
        <v>5321747.7500000009</v>
      </c>
      <c r="E284" s="780">
        <f t="shared" si="17"/>
        <v>161265.08333333334</v>
      </c>
      <c r="F284" s="727">
        <f t="shared" si="13"/>
        <v>5160482.6666666679</v>
      </c>
      <c r="G284" s="785">
        <f t="shared" si="14"/>
        <v>763269.31883505487</v>
      </c>
      <c r="H284" s="786">
        <f t="shared" si="15"/>
        <v>763269.31883505487</v>
      </c>
      <c r="I284" s="783">
        <f t="shared" si="16"/>
        <v>0</v>
      </c>
      <c r="J284" s="783"/>
      <c r="K284" s="803">
        <v>737310</v>
      </c>
      <c r="L284" s="787"/>
      <c r="M284" s="803">
        <v>737310</v>
      </c>
      <c r="N284" s="787"/>
      <c r="O284" s="787"/>
    </row>
    <row r="285" spans="2:15">
      <c r="C285" s="1318">
        <f>IF(D274="","-",+C284+1)</f>
        <v>2018</v>
      </c>
      <c r="D285" s="727">
        <f t="shared" si="12"/>
        <v>5160482.6666666679</v>
      </c>
      <c r="E285" s="780">
        <f t="shared" si="17"/>
        <v>161265.08333333334</v>
      </c>
      <c r="F285" s="727">
        <f t="shared" si="13"/>
        <v>4999217.5833333349</v>
      </c>
      <c r="G285" s="785">
        <f t="shared" si="14"/>
        <v>744746.11158884817</v>
      </c>
      <c r="H285" s="786">
        <f t="shared" si="15"/>
        <v>744746.11158884817</v>
      </c>
      <c r="I285" s="783">
        <f t="shared" si="16"/>
        <v>0</v>
      </c>
      <c r="J285" s="783"/>
      <c r="K285" s="803">
        <v>631912</v>
      </c>
      <c r="L285" s="787"/>
      <c r="M285" s="803">
        <v>631912</v>
      </c>
      <c r="N285" s="787"/>
      <c r="O285" s="787"/>
    </row>
    <row r="286" spans="2:15">
      <c r="C286" s="1298">
        <f>IF(D274="","-",+C285+1)</f>
        <v>2019</v>
      </c>
      <c r="D286" s="727">
        <f t="shared" si="12"/>
        <v>4999217.5833333349</v>
      </c>
      <c r="E286" s="780">
        <f t="shared" si="17"/>
        <v>161265.08333333334</v>
      </c>
      <c r="F286" s="727">
        <f t="shared" si="13"/>
        <v>4837952.5000000019</v>
      </c>
      <c r="G286" s="785">
        <f t="shared" si="14"/>
        <v>726222.90434264136</v>
      </c>
      <c r="H286" s="786">
        <f t="shared" si="15"/>
        <v>726222.90434264136</v>
      </c>
      <c r="I286" s="783">
        <f t="shared" si="16"/>
        <v>0</v>
      </c>
      <c r="J286" s="783"/>
      <c r="K286" s="803"/>
      <c r="L286" s="787"/>
      <c r="M286" s="803"/>
      <c r="N286" s="787"/>
      <c r="O286" s="787"/>
    </row>
    <row r="287" spans="2:15">
      <c r="C287" s="779">
        <f>IF(D274="","-",+C286+1)</f>
        <v>2020</v>
      </c>
      <c r="D287" s="727">
        <f t="shared" si="12"/>
        <v>4837952.5000000019</v>
      </c>
      <c r="E287" s="780">
        <f t="shared" si="17"/>
        <v>161265.08333333334</v>
      </c>
      <c r="F287" s="727">
        <f t="shared" si="13"/>
        <v>4676687.4166666688</v>
      </c>
      <c r="G287" s="785">
        <f t="shared" si="14"/>
        <v>707699.69709643465</v>
      </c>
      <c r="H287" s="786">
        <f t="shared" si="15"/>
        <v>707699.69709643465</v>
      </c>
      <c r="I287" s="783">
        <f t="shared" si="16"/>
        <v>0</v>
      </c>
      <c r="J287" s="783"/>
      <c r="K287" s="803"/>
      <c r="L287" s="787"/>
      <c r="M287" s="803"/>
      <c r="N287" s="787"/>
      <c r="O287" s="787"/>
    </row>
    <row r="288" spans="2:15">
      <c r="C288" s="779">
        <f>IF(D274="","-",+C287+1)</f>
        <v>2021</v>
      </c>
      <c r="D288" s="727">
        <f t="shared" si="12"/>
        <v>4676687.4166666688</v>
      </c>
      <c r="E288" s="780">
        <f t="shared" si="17"/>
        <v>161265.08333333334</v>
      </c>
      <c r="F288" s="727">
        <f t="shared" si="13"/>
        <v>4515422.3333333358</v>
      </c>
      <c r="G288" s="785">
        <f t="shared" si="14"/>
        <v>689176.48985022772</v>
      </c>
      <c r="H288" s="786">
        <f t="shared" si="15"/>
        <v>689176.48985022772</v>
      </c>
      <c r="I288" s="783">
        <f t="shared" si="16"/>
        <v>0</v>
      </c>
      <c r="J288" s="783"/>
      <c r="K288" s="803"/>
      <c r="L288" s="787"/>
      <c r="M288" s="803"/>
      <c r="N288" s="787"/>
      <c r="O288" s="787"/>
    </row>
    <row r="289" spans="3:15">
      <c r="C289" s="779">
        <f>IF(D274="","-",+C288+1)</f>
        <v>2022</v>
      </c>
      <c r="D289" s="727">
        <f t="shared" si="12"/>
        <v>4515422.3333333358</v>
      </c>
      <c r="E289" s="780">
        <f t="shared" si="17"/>
        <v>161265.08333333334</v>
      </c>
      <c r="F289" s="727">
        <f t="shared" si="13"/>
        <v>4354157.2500000028</v>
      </c>
      <c r="G289" s="785">
        <f t="shared" si="14"/>
        <v>670653.28260402102</v>
      </c>
      <c r="H289" s="786">
        <f t="shared" si="15"/>
        <v>670653.28260402102</v>
      </c>
      <c r="I289" s="783">
        <f t="shared" si="16"/>
        <v>0</v>
      </c>
      <c r="J289" s="783"/>
      <c r="K289" s="803"/>
      <c r="L289" s="787"/>
      <c r="M289" s="803"/>
      <c r="N289" s="787"/>
      <c r="O289" s="787"/>
    </row>
    <row r="290" spans="3:15">
      <c r="C290" s="779">
        <f>IF(D274="","-",+C289+1)</f>
        <v>2023</v>
      </c>
      <c r="D290" s="727">
        <f t="shared" si="12"/>
        <v>4354157.2500000028</v>
      </c>
      <c r="E290" s="780">
        <f t="shared" si="17"/>
        <v>161265.08333333334</v>
      </c>
      <c r="F290" s="727">
        <f t="shared" si="13"/>
        <v>4192892.1666666693</v>
      </c>
      <c r="G290" s="785">
        <f t="shared" si="14"/>
        <v>652130.0753578142</v>
      </c>
      <c r="H290" s="786">
        <f t="shared" si="15"/>
        <v>652130.0753578142</v>
      </c>
      <c r="I290" s="783">
        <f t="shared" si="16"/>
        <v>0</v>
      </c>
      <c r="J290" s="783"/>
      <c r="K290" s="803"/>
      <c r="L290" s="787"/>
      <c r="M290" s="803"/>
      <c r="N290" s="787"/>
      <c r="O290" s="787"/>
    </row>
    <row r="291" spans="3:15">
      <c r="C291" s="779">
        <f>IF(D274="","-",+C290+1)</f>
        <v>2024</v>
      </c>
      <c r="D291" s="727">
        <f t="shared" si="12"/>
        <v>4192892.1666666693</v>
      </c>
      <c r="E291" s="780">
        <f t="shared" si="17"/>
        <v>161265.08333333334</v>
      </c>
      <c r="F291" s="727">
        <f t="shared" si="13"/>
        <v>4031627.0833333358</v>
      </c>
      <c r="G291" s="785">
        <f t="shared" si="14"/>
        <v>633606.86811160739</v>
      </c>
      <c r="H291" s="786">
        <f t="shared" si="15"/>
        <v>633606.86811160739</v>
      </c>
      <c r="I291" s="783">
        <f t="shared" si="16"/>
        <v>0</v>
      </c>
      <c r="J291" s="783"/>
      <c r="K291" s="803"/>
      <c r="L291" s="787"/>
      <c r="M291" s="803"/>
      <c r="N291" s="787"/>
      <c r="O291" s="787"/>
    </row>
    <row r="292" spans="3:15">
      <c r="C292" s="779">
        <f>IF(D274="","-",+C291+1)</f>
        <v>2025</v>
      </c>
      <c r="D292" s="727">
        <f t="shared" si="12"/>
        <v>4031627.0833333358</v>
      </c>
      <c r="E292" s="780">
        <f t="shared" si="17"/>
        <v>161265.08333333334</v>
      </c>
      <c r="F292" s="727">
        <f t="shared" si="13"/>
        <v>3870362.0000000023</v>
      </c>
      <c r="G292" s="785">
        <f t="shared" si="14"/>
        <v>615083.66086540045</v>
      </c>
      <c r="H292" s="786">
        <f t="shared" si="15"/>
        <v>615083.66086540045</v>
      </c>
      <c r="I292" s="783">
        <f t="shared" si="16"/>
        <v>0</v>
      </c>
      <c r="J292" s="783"/>
      <c r="K292" s="803"/>
      <c r="L292" s="787"/>
      <c r="M292" s="803"/>
      <c r="N292" s="788"/>
      <c r="O292" s="787"/>
    </row>
    <row r="293" spans="3:15">
      <c r="C293" s="779">
        <f>IF(D274="","-",+C292+1)</f>
        <v>2026</v>
      </c>
      <c r="D293" s="727">
        <f t="shared" si="12"/>
        <v>3870362.0000000023</v>
      </c>
      <c r="E293" s="780">
        <f t="shared" si="17"/>
        <v>161265.08333333334</v>
      </c>
      <c r="F293" s="727">
        <f t="shared" si="13"/>
        <v>3709096.9166666688</v>
      </c>
      <c r="G293" s="785">
        <f t="shared" si="14"/>
        <v>596560.45361919375</v>
      </c>
      <c r="H293" s="786">
        <f t="shared" si="15"/>
        <v>596560.45361919375</v>
      </c>
      <c r="I293" s="783">
        <f t="shared" si="16"/>
        <v>0</v>
      </c>
      <c r="J293" s="783"/>
      <c r="K293" s="803"/>
      <c r="L293" s="787"/>
      <c r="M293" s="803"/>
      <c r="N293" s="787"/>
      <c r="O293" s="787"/>
    </row>
    <row r="294" spans="3:15">
      <c r="C294" s="779">
        <f>IF(D274="","-",+C293+1)</f>
        <v>2027</v>
      </c>
      <c r="D294" s="727">
        <f t="shared" si="12"/>
        <v>3709096.9166666688</v>
      </c>
      <c r="E294" s="780">
        <f t="shared" si="17"/>
        <v>161265.08333333334</v>
      </c>
      <c r="F294" s="727">
        <f t="shared" si="13"/>
        <v>3547831.8333333354</v>
      </c>
      <c r="G294" s="785">
        <f t="shared" si="14"/>
        <v>578037.24637298682</v>
      </c>
      <c r="H294" s="786">
        <f t="shared" si="15"/>
        <v>578037.24637298682</v>
      </c>
      <c r="I294" s="783">
        <f t="shared" si="16"/>
        <v>0</v>
      </c>
      <c r="J294" s="783"/>
      <c r="K294" s="803"/>
      <c r="L294" s="787"/>
      <c r="M294" s="803"/>
      <c r="N294" s="787"/>
      <c r="O294" s="787"/>
    </row>
    <row r="295" spans="3:15">
      <c r="C295" s="779">
        <f>IF(D274="","-",+C294+1)</f>
        <v>2028</v>
      </c>
      <c r="D295" s="727">
        <f t="shared" si="12"/>
        <v>3547831.8333333354</v>
      </c>
      <c r="E295" s="780">
        <f t="shared" si="17"/>
        <v>161265.08333333334</v>
      </c>
      <c r="F295" s="727">
        <f t="shared" si="13"/>
        <v>3386566.7500000019</v>
      </c>
      <c r="G295" s="785">
        <f t="shared" si="14"/>
        <v>559514.03912678012</v>
      </c>
      <c r="H295" s="786">
        <f t="shared" si="15"/>
        <v>559514.03912678012</v>
      </c>
      <c r="I295" s="783">
        <f t="shared" si="16"/>
        <v>0</v>
      </c>
      <c r="J295" s="783"/>
      <c r="K295" s="803"/>
      <c r="L295" s="787"/>
      <c r="M295" s="803"/>
      <c r="N295" s="787"/>
      <c r="O295" s="787"/>
    </row>
    <row r="296" spans="3:15">
      <c r="C296" s="779">
        <f>IF(D274="","-",+C295+1)</f>
        <v>2029</v>
      </c>
      <c r="D296" s="727">
        <f t="shared" si="12"/>
        <v>3386566.7500000019</v>
      </c>
      <c r="E296" s="780">
        <f t="shared" si="17"/>
        <v>161265.08333333334</v>
      </c>
      <c r="F296" s="727">
        <f t="shared" si="13"/>
        <v>3225301.6666666684</v>
      </c>
      <c r="G296" s="785">
        <f t="shared" si="14"/>
        <v>540990.83188057318</v>
      </c>
      <c r="H296" s="786">
        <f t="shared" si="15"/>
        <v>540990.83188057318</v>
      </c>
      <c r="I296" s="783">
        <f t="shared" si="16"/>
        <v>0</v>
      </c>
      <c r="J296" s="783"/>
      <c r="K296" s="803"/>
      <c r="L296" s="787"/>
      <c r="M296" s="803"/>
      <c r="N296" s="787"/>
      <c r="O296" s="787"/>
    </row>
    <row r="297" spans="3:15">
      <c r="C297" s="779">
        <f>IF(D274="","-",+C296+1)</f>
        <v>2030</v>
      </c>
      <c r="D297" s="727">
        <f t="shared" si="12"/>
        <v>3225301.6666666684</v>
      </c>
      <c r="E297" s="780">
        <f t="shared" si="17"/>
        <v>161265.08333333334</v>
      </c>
      <c r="F297" s="727">
        <f t="shared" si="13"/>
        <v>3064036.5833333349</v>
      </c>
      <c r="G297" s="785">
        <f t="shared" si="14"/>
        <v>522467.62463436637</v>
      </c>
      <c r="H297" s="786">
        <f t="shared" si="15"/>
        <v>522467.62463436637</v>
      </c>
      <c r="I297" s="783">
        <f t="shared" si="16"/>
        <v>0</v>
      </c>
      <c r="J297" s="783"/>
      <c r="K297" s="803"/>
      <c r="L297" s="787"/>
      <c r="M297" s="803"/>
      <c r="N297" s="787"/>
      <c r="O297" s="787"/>
    </row>
    <row r="298" spans="3:15">
      <c r="C298" s="779">
        <f>IF(D274="","-",+C297+1)</f>
        <v>2031</v>
      </c>
      <c r="D298" s="727">
        <f t="shared" si="12"/>
        <v>3064036.5833333349</v>
      </c>
      <c r="E298" s="780">
        <f t="shared" si="17"/>
        <v>161265.08333333334</v>
      </c>
      <c r="F298" s="727">
        <f t="shared" si="13"/>
        <v>2902771.5000000014</v>
      </c>
      <c r="G298" s="785">
        <f t="shared" si="14"/>
        <v>503944.41738815955</v>
      </c>
      <c r="H298" s="786">
        <f t="shared" si="15"/>
        <v>503944.41738815955</v>
      </c>
      <c r="I298" s="783">
        <f t="shared" si="16"/>
        <v>0</v>
      </c>
      <c r="J298" s="783"/>
      <c r="K298" s="803"/>
      <c r="L298" s="787"/>
      <c r="M298" s="803"/>
      <c r="N298" s="787"/>
      <c r="O298" s="787"/>
    </row>
    <row r="299" spans="3:15">
      <c r="C299" s="779">
        <f>IF(D274="","-",+C298+1)</f>
        <v>2032</v>
      </c>
      <c r="D299" s="727">
        <f t="shared" si="12"/>
        <v>2902771.5000000014</v>
      </c>
      <c r="E299" s="780">
        <f t="shared" si="17"/>
        <v>161265.08333333334</v>
      </c>
      <c r="F299" s="727">
        <f t="shared" si="13"/>
        <v>2741506.4166666679</v>
      </c>
      <c r="G299" s="785">
        <f t="shared" si="14"/>
        <v>485421.21014195273</v>
      </c>
      <c r="H299" s="786">
        <f t="shared" si="15"/>
        <v>485421.21014195273</v>
      </c>
      <c r="I299" s="783">
        <f t="shared" si="16"/>
        <v>0</v>
      </c>
      <c r="J299" s="783"/>
      <c r="K299" s="803"/>
      <c r="L299" s="787"/>
      <c r="M299" s="803"/>
      <c r="N299" s="787"/>
      <c r="O299" s="787"/>
    </row>
    <row r="300" spans="3:15">
      <c r="C300" s="779">
        <f>IF(D274="","-",+C299+1)</f>
        <v>2033</v>
      </c>
      <c r="D300" s="727">
        <f t="shared" si="12"/>
        <v>2741506.4166666679</v>
      </c>
      <c r="E300" s="780">
        <f t="shared" si="17"/>
        <v>161265.08333333334</v>
      </c>
      <c r="F300" s="727">
        <f t="shared" si="13"/>
        <v>2580241.3333333344</v>
      </c>
      <c r="G300" s="785">
        <f t="shared" si="14"/>
        <v>466898.00289574591</v>
      </c>
      <c r="H300" s="786">
        <f t="shared" si="15"/>
        <v>466898.00289574591</v>
      </c>
      <c r="I300" s="783">
        <f t="shared" si="16"/>
        <v>0</v>
      </c>
      <c r="J300" s="783"/>
      <c r="K300" s="803"/>
      <c r="L300" s="787"/>
      <c r="M300" s="803"/>
      <c r="N300" s="787"/>
      <c r="O300" s="787"/>
    </row>
    <row r="301" spans="3:15">
      <c r="C301" s="779">
        <f>IF(D274="","-",+C300+1)</f>
        <v>2034</v>
      </c>
      <c r="D301" s="727">
        <f t="shared" si="12"/>
        <v>2580241.3333333344</v>
      </c>
      <c r="E301" s="780">
        <f t="shared" si="17"/>
        <v>161265.08333333334</v>
      </c>
      <c r="F301" s="727">
        <f t="shared" si="13"/>
        <v>2418976.2500000009</v>
      </c>
      <c r="G301" s="785">
        <f t="shared" si="14"/>
        <v>448374.7956495391</v>
      </c>
      <c r="H301" s="786">
        <f t="shared" si="15"/>
        <v>448374.7956495391</v>
      </c>
      <c r="I301" s="783">
        <f t="shared" si="16"/>
        <v>0</v>
      </c>
      <c r="J301" s="783"/>
      <c r="K301" s="803"/>
      <c r="L301" s="787"/>
      <c r="M301" s="803"/>
      <c r="N301" s="787"/>
      <c r="O301" s="787"/>
    </row>
    <row r="302" spans="3:15">
      <c r="C302" s="779">
        <f>IF(D274="","-",+C301+1)</f>
        <v>2035</v>
      </c>
      <c r="D302" s="727">
        <f t="shared" si="12"/>
        <v>2418976.2500000009</v>
      </c>
      <c r="E302" s="780">
        <f t="shared" si="17"/>
        <v>161265.08333333334</v>
      </c>
      <c r="F302" s="727">
        <f t="shared" si="13"/>
        <v>2257711.1666666674</v>
      </c>
      <c r="G302" s="785">
        <f t="shared" si="14"/>
        <v>429851.58840333216</v>
      </c>
      <c r="H302" s="786">
        <f t="shared" si="15"/>
        <v>429851.58840333216</v>
      </c>
      <c r="I302" s="783">
        <f t="shared" si="16"/>
        <v>0</v>
      </c>
      <c r="J302" s="783"/>
      <c r="K302" s="803"/>
      <c r="L302" s="787"/>
      <c r="M302" s="803"/>
      <c r="N302" s="787"/>
      <c r="O302" s="787"/>
    </row>
    <row r="303" spans="3:15">
      <c r="C303" s="779">
        <f>IF(D274="","-",+C302+1)</f>
        <v>2036</v>
      </c>
      <c r="D303" s="727">
        <f t="shared" si="12"/>
        <v>2257711.1666666674</v>
      </c>
      <c r="E303" s="780">
        <f t="shared" si="17"/>
        <v>161265.08333333334</v>
      </c>
      <c r="F303" s="727">
        <f t="shared" si="13"/>
        <v>2096446.0833333342</v>
      </c>
      <c r="G303" s="785">
        <f t="shared" si="14"/>
        <v>411328.38115712546</v>
      </c>
      <c r="H303" s="786">
        <f t="shared" si="15"/>
        <v>411328.38115712546</v>
      </c>
      <c r="I303" s="783">
        <f t="shared" si="16"/>
        <v>0</v>
      </c>
      <c r="J303" s="783"/>
      <c r="K303" s="803"/>
      <c r="L303" s="787"/>
      <c r="M303" s="803"/>
      <c r="N303" s="787"/>
      <c r="O303" s="787"/>
    </row>
    <row r="304" spans="3:15">
      <c r="C304" s="779">
        <f>IF(D274="","-",+C303+1)</f>
        <v>2037</v>
      </c>
      <c r="D304" s="727">
        <f t="shared" si="12"/>
        <v>2096446.0833333342</v>
      </c>
      <c r="E304" s="780">
        <f t="shared" si="17"/>
        <v>161265.08333333334</v>
      </c>
      <c r="F304" s="727">
        <f t="shared" si="13"/>
        <v>1935181.0000000009</v>
      </c>
      <c r="G304" s="785">
        <f t="shared" si="14"/>
        <v>392805.17391091859</v>
      </c>
      <c r="H304" s="786">
        <f t="shared" si="15"/>
        <v>392805.17391091859</v>
      </c>
      <c r="I304" s="783">
        <f t="shared" si="16"/>
        <v>0</v>
      </c>
      <c r="J304" s="783"/>
      <c r="K304" s="803"/>
      <c r="L304" s="787"/>
      <c r="M304" s="803"/>
      <c r="N304" s="787"/>
      <c r="O304" s="787"/>
    </row>
    <row r="305" spans="3:15">
      <c r="C305" s="779">
        <f>IF(D274="","-",+C304+1)</f>
        <v>2038</v>
      </c>
      <c r="D305" s="727">
        <f t="shared" si="12"/>
        <v>1935181.0000000009</v>
      </c>
      <c r="E305" s="780">
        <f t="shared" si="17"/>
        <v>161265.08333333334</v>
      </c>
      <c r="F305" s="727">
        <f t="shared" si="13"/>
        <v>1773915.9166666677</v>
      </c>
      <c r="G305" s="785">
        <f t="shared" si="14"/>
        <v>374281.96666471183</v>
      </c>
      <c r="H305" s="786">
        <f t="shared" si="15"/>
        <v>374281.96666471183</v>
      </c>
      <c r="I305" s="783">
        <f t="shared" si="16"/>
        <v>0</v>
      </c>
      <c r="J305" s="783"/>
      <c r="K305" s="803"/>
      <c r="L305" s="787"/>
      <c r="M305" s="803"/>
      <c r="N305" s="787"/>
      <c r="O305" s="787"/>
    </row>
    <row r="306" spans="3:15">
      <c r="C306" s="779">
        <f>IF(D274="","-",+C305+1)</f>
        <v>2039</v>
      </c>
      <c r="D306" s="727">
        <f t="shared" si="12"/>
        <v>1773915.9166666677</v>
      </c>
      <c r="E306" s="780">
        <f t="shared" si="17"/>
        <v>161265.08333333334</v>
      </c>
      <c r="F306" s="727">
        <f t="shared" si="13"/>
        <v>1612650.8333333344</v>
      </c>
      <c r="G306" s="785">
        <f t="shared" si="14"/>
        <v>355758.75941850501</v>
      </c>
      <c r="H306" s="786">
        <f t="shared" si="15"/>
        <v>355758.75941850501</v>
      </c>
      <c r="I306" s="783">
        <f t="shared" si="16"/>
        <v>0</v>
      </c>
      <c r="J306" s="783"/>
      <c r="K306" s="803"/>
      <c r="L306" s="787"/>
      <c r="M306" s="803"/>
      <c r="N306" s="787"/>
      <c r="O306" s="787"/>
    </row>
    <row r="307" spans="3:15">
      <c r="C307" s="779">
        <f>IF(D274="","-",+C306+1)</f>
        <v>2040</v>
      </c>
      <c r="D307" s="727">
        <f t="shared" si="12"/>
        <v>1612650.8333333344</v>
      </c>
      <c r="E307" s="780">
        <f t="shared" si="17"/>
        <v>161265.08333333334</v>
      </c>
      <c r="F307" s="727">
        <f t="shared" si="13"/>
        <v>1451385.7500000012</v>
      </c>
      <c r="G307" s="785">
        <f t="shared" si="14"/>
        <v>337235.55217229819</v>
      </c>
      <c r="H307" s="786">
        <f t="shared" si="15"/>
        <v>337235.55217229819</v>
      </c>
      <c r="I307" s="783">
        <f t="shared" si="16"/>
        <v>0</v>
      </c>
      <c r="J307" s="783"/>
      <c r="K307" s="803"/>
      <c r="L307" s="787"/>
      <c r="M307" s="803"/>
      <c r="N307" s="787"/>
      <c r="O307" s="787"/>
    </row>
    <row r="308" spans="3:15">
      <c r="C308" s="779">
        <f>IF(D274="","-",+C307+1)</f>
        <v>2041</v>
      </c>
      <c r="D308" s="727">
        <f t="shared" si="12"/>
        <v>1451385.7500000012</v>
      </c>
      <c r="E308" s="780">
        <f t="shared" si="17"/>
        <v>161265.08333333334</v>
      </c>
      <c r="F308" s="727">
        <f t="shared" si="13"/>
        <v>1290120.6666666679</v>
      </c>
      <c r="G308" s="781">
        <f t="shared" si="14"/>
        <v>318712.34492609138</v>
      </c>
      <c r="H308" s="786">
        <f t="shared" si="15"/>
        <v>318712.34492609138</v>
      </c>
      <c r="I308" s="783">
        <f t="shared" si="16"/>
        <v>0</v>
      </c>
      <c r="J308" s="783"/>
      <c r="K308" s="803"/>
      <c r="L308" s="787"/>
      <c r="M308" s="803"/>
      <c r="N308" s="787"/>
      <c r="O308" s="787"/>
    </row>
    <row r="309" spans="3:15">
      <c r="C309" s="779">
        <f>IF(D274="","-",+C308+1)</f>
        <v>2042</v>
      </c>
      <c r="D309" s="727">
        <f t="shared" si="12"/>
        <v>1290120.6666666679</v>
      </c>
      <c r="E309" s="780">
        <f t="shared" si="17"/>
        <v>161265.08333333334</v>
      </c>
      <c r="F309" s="727">
        <f t="shared" si="13"/>
        <v>1128855.5833333347</v>
      </c>
      <c r="G309" s="785">
        <f t="shared" si="14"/>
        <v>300189.13767988456</v>
      </c>
      <c r="H309" s="786">
        <f t="shared" si="15"/>
        <v>300189.13767988456</v>
      </c>
      <c r="I309" s="783">
        <f t="shared" si="16"/>
        <v>0</v>
      </c>
      <c r="J309" s="783"/>
      <c r="K309" s="803"/>
      <c r="L309" s="787"/>
      <c r="M309" s="803"/>
      <c r="N309" s="787"/>
      <c r="O309" s="787"/>
    </row>
    <row r="310" spans="3:15">
      <c r="C310" s="779">
        <f>IF(D274="","-",+C309+1)</f>
        <v>2043</v>
      </c>
      <c r="D310" s="727">
        <f t="shared" si="12"/>
        <v>1128855.5833333347</v>
      </c>
      <c r="E310" s="780">
        <f t="shared" si="17"/>
        <v>161265.08333333334</v>
      </c>
      <c r="F310" s="727">
        <f t="shared" si="13"/>
        <v>967590.50000000128</v>
      </c>
      <c r="G310" s="785">
        <f t="shared" si="14"/>
        <v>281665.93043367774</v>
      </c>
      <c r="H310" s="786">
        <f t="shared" si="15"/>
        <v>281665.93043367774</v>
      </c>
      <c r="I310" s="783">
        <f t="shared" si="16"/>
        <v>0</v>
      </c>
      <c r="J310" s="783"/>
      <c r="K310" s="803"/>
      <c r="L310" s="787"/>
      <c r="M310" s="803"/>
      <c r="N310" s="787"/>
      <c r="O310" s="787"/>
    </row>
    <row r="311" spans="3:15">
      <c r="C311" s="779">
        <f>IF(D274="","-",+C310+1)</f>
        <v>2044</v>
      </c>
      <c r="D311" s="727">
        <f t="shared" si="12"/>
        <v>967590.50000000128</v>
      </c>
      <c r="E311" s="780">
        <f t="shared" si="17"/>
        <v>161265.08333333334</v>
      </c>
      <c r="F311" s="727">
        <f t="shared" si="13"/>
        <v>806325.41666666791</v>
      </c>
      <c r="G311" s="785">
        <f t="shared" si="14"/>
        <v>263142.72318747098</v>
      </c>
      <c r="H311" s="786">
        <f t="shared" si="15"/>
        <v>263142.72318747098</v>
      </c>
      <c r="I311" s="783">
        <f t="shared" si="16"/>
        <v>0</v>
      </c>
      <c r="J311" s="783"/>
      <c r="K311" s="803"/>
      <c r="L311" s="787"/>
      <c r="M311" s="803"/>
      <c r="N311" s="787"/>
      <c r="O311" s="787"/>
    </row>
    <row r="312" spans="3:15">
      <c r="C312" s="779">
        <f>IF(D274="","-",+C311+1)</f>
        <v>2045</v>
      </c>
      <c r="D312" s="727">
        <f t="shared" si="12"/>
        <v>806325.41666666791</v>
      </c>
      <c r="E312" s="780">
        <f t="shared" si="17"/>
        <v>161265.08333333334</v>
      </c>
      <c r="F312" s="727">
        <f t="shared" si="13"/>
        <v>645060.33333333454</v>
      </c>
      <c r="G312" s="785">
        <f t="shared" si="14"/>
        <v>244619.51594126414</v>
      </c>
      <c r="H312" s="786">
        <f t="shared" si="15"/>
        <v>244619.51594126414</v>
      </c>
      <c r="I312" s="783">
        <f t="shared" si="16"/>
        <v>0</v>
      </c>
      <c r="J312" s="783"/>
      <c r="K312" s="803"/>
      <c r="L312" s="787"/>
      <c r="M312" s="803"/>
      <c r="N312" s="787"/>
      <c r="O312" s="787"/>
    </row>
    <row r="313" spans="3:15">
      <c r="C313" s="779">
        <f>IF(D274="","-",+C312+1)</f>
        <v>2046</v>
      </c>
      <c r="D313" s="727">
        <f t="shared" si="12"/>
        <v>645060.33333333454</v>
      </c>
      <c r="E313" s="780">
        <f t="shared" si="17"/>
        <v>161265.08333333334</v>
      </c>
      <c r="F313" s="727">
        <f t="shared" si="13"/>
        <v>483795.25000000116</v>
      </c>
      <c r="G313" s="785">
        <f t="shared" si="14"/>
        <v>226096.30869505735</v>
      </c>
      <c r="H313" s="786">
        <f t="shared" si="15"/>
        <v>226096.30869505735</v>
      </c>
      <c r="I313" s="783">
        <f t="shared" si="16"/>
        <v>0</v>
      </c>
      <c r="J313" s="783"/>
      <c r="K313" s="803"/>
      <c r="L313" s="787"/>
      <c r="M313" s="803"/>
      <c r="N313" s="787"/>
      <c r="O313" s="787"/>
    </row>
    <row r="314" spans="3:15">
      <c r="C314" s="779">
        <f>IF(D274="","-",+C313+1)</f>
        <v>2047</v>
      </c>
      <c r="D314" s="727">
        <f t="shared" si="12"/>
        <v>483795.25000000116</v>
      </c>
      <c r="E314" s="780">
        <f t="shared" si="17"/>
        <v>161265.08333333334</v>
      </c>
      <c r="F314" s="727">
        <f t="shared" si="13"/>
        <v>322530.16666666779</v>
      </c>
      <c r="G314" s="785">
        <f t="shared" si="14"/>
        <v>207573.1014488505</v>
      </c>
      <c r="H314" s="786">
        <f t="shared" si="15"/>
        <v>207573.1014488505</v>
      </c>
      <c r="I314" s="783">
        <f t="shared" si="16"/>
        <v>0</v>
      </c>
      <c r="J314" s="783"/>
      <c r="K314" s="803"/>
      <c r="L314" s="787"/>
      <c r="M314" s="803"/>
      <c r="N314" s="787"/>
      <c r="O314" s="787"/>
    </row>
    <row r="315" spans="3:15">
      <c r="C315" s="779">
        <f>IF(D274="","-",+C314+1)</f>
        <v>2048</v>
      </c>
      <c r="D315" s="727">
        <f t="shared" si="12"/>
        <v>322530.16666666779</v>
      </c>
      <c r="E315" s="780">
        <f t="shared" si="17"/>
        <v>161265.08333333334</v>
      </c>
      <c r="F315" s="727">
        <f t="shared" si="13"/>
        <v>161265.08333333445</v>
      </c>
      <c r="G315" s="785">
        <f t="shared" si="14"/>
        <v>189049.89420264369</v>
      </c>
      <c r="H315" s="786">
        <f t="shared" si="15"/>
        <v>189049.89420264369</v>
      </c>
      <c r="I315" s="783">
        <f t="shared" si="16"/>
        <v>0</v>
      </c>
      <c r="J315" s="783"/>
      <c r="K315" s="803"/>
      <c r="L315" s="787"/>
      <c r="M315" s="803"/>
      <c r="N315" s="787"/>
      <c r="O315" s="787"/>
    </row>
    <row r="316" spans="3:15">
      <c r="C316" s="779">
        <f>IF(D274="","-",+C315+1)</f>
        <v>2049</v>
      </c>
      <c r="D316" s="727">
        <f t="shared" si="12"/>
        <v>161265.08333333445</v>
      </c>
      <c r="E316" s="780">
        <f t="shared" si="17"/>
        <v>161265.08333333334</v>
      </c>
      <c r="F316" s="727">
        <f t="shared" si="13"/>
        <v>1.1059455573558807E-9</v>
      </c>
      <c r="G316" s="785">
        <f t="shared" si="14"/>
        <v>170526.68695643687</v>
      </c>
      <c r="H316" s="786">
        <f t="shared" si="15"/>
        <v>170526.68695643687</v>
      </c>
      <c r="I316" s="783">
        <f t="shared" si="16"/>
        <v>0</v>
      </c>
      <c r="J316" s="783"/>
      <c r="K316" s="803"/>
      <c r="L316" s="787"/>
      <c r="M316" s="803"/>
      <c r="N316" s="787"/>
      <c r="O316" s="787"/>
    </row>
    <row r="317" spans="3:15">
      <c r="C317" s="779">
        <f>IF(D274="","-",+C316+1)</f>
        <v>2050</v>
      </c>
      <c r="D317" s="727">
        <f t="shared" si="12"/>
        <v>1.1059455573558807E-9</v>
      </c>
      <c r="E317" s="780">
        <f t="shared" si="17"/>
        <v>1.1059455573558807E-9</v>
      </c>
      <c r="F317" s="727">
        <f t="shared" si="13"/>
        <v>0</v>
      </c>
      <c r="G317" s="785">
        <f t="shared" si="14"/>
        <v>1.1694610386320756E-9</v>
      </c>
      <c r="H317" s="786">
        <f t="shared" si="15"/>
        <v>1.1694610386320756E-9</v>
      </c>
      <c r="I317" s="783">
        <f t="shared" si="16"/>
        <v>0</v>
      </c>
      <c r="J317" s="783"/>
      <c r="K317" s="803"/>
      <c r="L317" s="787"/>
      <c r="M317" s="803"/>
      <c r="N317" s="787"/>
      <c r="O317" s="787"/>
    </row>
    <row r="318" spans="3:15">
      <c r="C318" s="779">
        <f>IF(D274="","-",+C317+1)</f>
        <v>2051</v>
      </c>
      <c r="D318" s="727">
        <f t="shared" si="12"/>
        <v>0</v>
      </c>
      <c r="E318" s="780">
        <f t="shared" si="17"/>
        <v>0</v>
      </c>
      <c r="F318" s="727">
        <f t="shared" si="13"/>
        <v>0</v>
      </c>
      <c r="G318" s="785">
        <f t="shared" si="14"/>
        <v>0</v>
      </c>
      <c r="H318" s="786">
        <f t="shared" si="15"/>
        <v>0</v>
      </c>
      <c r="I318" s="783">
        <f t="shared" si="16"/>
        <v>0</v>
      </c>
      <c r="J318" s="783"/>
      <c r="K318" s="803"/>
      <c r="L318" s="787"/>
      <c r="M318" s="803"/>
      <c r="N318" s="787"/>
      <c r="O318" s="787"/>
    </row>
    <row r="319" spans="3:15">
      <c r="C319" s="779">
        <f>IF(D274="","-",+C318+1)</f>
        <v>2052</v>
      </c>
      <c r="D319" s="727">
        <f t="shared" si="12"/>
        <v>0</v>
      </c>
      <c r="E319" s="780">
        <f t="shared" si="17"/>
        <v>0</v>
      </c>
      <c r="F319" s="727">
        <f t="shared" si="13"/>
        <v>0</v>
      </c>
      <c r="G319" s="785">
        <f t="shared" si="14"/>
        <v>0</v>
      </c>
      <c r="H319" s="786">
        <f t="shared" si="15"/>
        <v>0</v>
      </c>
      <c r="I319" s="783">
        <f t="shared" si="16"/>
        <v>0</v>
      </c>
      <c r="J319" s="783"/>
      <c r="K319" s="803"/>
      <c r="L319" s="787"/>
      <c r="M319" s="803"/>
      <c r="N319" s="787"/>
      <c r="O319" s="787"/>
    </row>
    <row r="320" spans="3:15">
      <c r="C320" s="779">
        <f>IF(D274="","-",+C319+1)</f>
        <v>2053</v>
      </c>
      <c r="D320" s="727">
        <f t="shared" si="12"/>
        <v>0</v>
      </c>
      <c r="E320" s="780">
        <f t="shared" si="17"/>
        <v>0</v>
      </c>
      <c r="F320" s="727">
        <f t="shared" si="13"/>
        <v>0</v>
      </c>
      <c r="G320" s="785">
        <f t="shared" si="14"/>
        <v>0</v>
      </c>
      <c r="H320" s="786">
        <f t="shared" si="15"/>
        <v>0</v>
      </c>
      <c r="I320" s="783">
        <f t="shared" si="16"/>
        <v>0</v>
      </c>
      <c r="J320" s="783"/>
      <c r="K320" s="803"/>
      <c r="L320" s="787"/>
      <c r="M320" s="803"/>
      <c r="N320" s="787"/>
      <c r="O320" s="787"/>
    </row>
    <row r="321" spans="3:15">
      <c r="C321" s="779">
        <f>IF(D274="","-",+C320+1)</f>
        <v>2054</v>
      </c>
      <c r="D321" s="727">
        <f t="shared" si="12"/>
        <v>0</v>
      </c>
      <c r="E321" s="780">
        <f t="shared" si="17"/>
        <v>0</v>
      </c>
      <c r="F321" s="727">
        <f t="shared" si="13"/>
        <v>0</v>
      </c>
      <c r="G321" s="785">
        <f t="shared" si="14"/>
        <v>0</v>
      </c>
      <c r="H321" s="786">
        <f t="shared" si="15"/>
        <v>0</v>
      </c>
      <c r="I321" s="783">
        <f t="shared" si="16"/>
        <v>0</v>
      </c>
      <c r="J321" s="783"/>
      <c r="K321" s="803"/>
      <c r="L321" s="787"/>
      <c r="M321" s="803"/>
      <c r="N321" s="787"/>
      <c r="O321" s="787"/>
    </row>
    <row r="322" spans="3:15">
      <c r="C322" s="779">
        <f>IF(D274="","-",+C321+1)</f>
        <v>2055</v>
      </c>
      <c r="D322" s="727">
        <f t="shared" si="12"/>
        <v>0</v>
      </c>
      <c r="E322" s="780">
        <f t="shared" si="17"/>
        <v>0</v>
      </c>
      <c r="F322" s="727">
        <f t="shared" si="13"/>
        <v>0</v>
      </c>
      <c r="G322" s="785">
        <f t="shared" si="14"/>
        <v>0</v>
      </c>
      <c r="H322" s="786">
        <f t="shared" si="15"/>
        <v>0</v>
      </c>
      <c r="I322" s="783">
        <f t="shared" si="16"/>
        <v>0</v>
      </c>
      <c r="J322" s="783"/>
      <c r="K322" s="803"/>
      <c r="L322" s="787"/>
      <c r="M322" s="803"/>
      <c r="N322" s="787"/>
      <c r="O322" s="787"/>
    </row>
    <row r="323" spans="3:15">
      <c r="C323" s="779">
        <f>IF(D274="","-",+C322+1)</f>
        <v>2056</v>
      </c>
      <c r="D323" s="727">
        <f t="shared" si="12"/>
        <v>0</v>
      </c>
      <c r="E323" s="780">
        <f t="shared" si="17"/>
        <v>0</v>
      </c>
      <c r="F323" s="727">
        <f t="shared" si="13"/>
        <v>0</v>
      </c>
      <c r="G323" s="785">
        <f t="shared" si="14"/>
        <v>0</v>
      </c>
      <c r="H323" s="786">
        <f t="shared" si="15"/>
        <v>0</v>
      </c>
      <c r="I323" s="783">
        <f t="shared" si="16"/>
        <v>0</v>
      </c>
      <c r="J323" s="783"/>
      <c r="K323" s="803"/>
      <c r="L323" s="787"/>
      <c r="M323" s="803"/>
      <c r="N323" s="787"/>
      <c r="O323" s="787"/>
    </row>
    <row r="324" spans="3:15">
      <c r="C324" s="779">
        <f>IF(D274="","-",+C323+1)</f>
        <v>2057</v>
      </c>
      <c r="D324" s="727">
        <f t="shared" si="12"/>
        <v>0</v>
      </c>
      <c r="E324" s="780">
        <f t="shared" si="17"/>
        <v>0</v>
      </c>
      <c r="F324" s="727">
        <f t="shared" si="13"/>
        <v>0</v>
      </c>
      <c r="G324" s="785">
        <f t="shared" si="14"/>
        <v>0</v>
      </c>
      <c r="H324" s="786">
        <f t="shared" si="15"/>
        <v>0</v>
      </c>
      <c r="I324" s="783">
        <f t="shared" si="16"/>
        <v>0</v>
      </c>
      <c r="J324" s="783"/>
      <c r="K324" s="803"/>
      <c r="L324" s="787"/>
      <c r="M324" s="803"/>
      <c r="N324" s="787"/>
      <c r="O324" s="787"/>
    </row>
    <row r="325" spans="3:15">
      <c r="C325" s="779">
        <f>IF(D274="","-",+C324+1)</f>
        <v>2058</v>
      </c>
      <c r="D325" s="727">
        <f t="shared" si="12"/>
        <v>0</v>
      </c>
      <c r="E325" s="780">
        <f t="shared" si="17"/>
        <v>0</v>
      </c>
      <c r="F325" s="727">
        <f t="shared" si="13"/>
        <v>0</v>
      </c>
      <c r="G325" s="785">
        <f t="shared" si="14"/>
        <v>0</v>
      </c>
      <c r="H325" s="786">
        <f t="shared" si="15"/>
        <v>0</v>
      </c>
      <c r="I325" s="783">
        <f t="shared" si="16"/>
        <v>0</v>
      </c>
      <c r="J325" s="783"/>
      <c r="K325" s="803"/>
      <c r="L325" s="787"/>
      <c r="M325" s="803"/>
      <c r="N325" s="787"/>
      <c r="O325" s="787"/>
    </row>
    <row r="326" spans="3:15">
      <c r="C326" s="779">
        <f>IF(D274="","-",+C325+1)</f>
        <v>2059</v>
      </c>
      <c r="D326" s="727">
        <f t="shared" si="12"/>
        <v>0</v>
      </c>
      <c r="E326" s="780">
        <f t="shared" si="17"/>
        <v>0</v>
      </c>
      <c r="F326" s="727">
        <f t="shared" si="13"/>
        <v>0</v>
      </c>
      <c r="G326" s="785">
        <f t="shared" si="14"/>
        <v>0</v>
      </c>
      <c r="H326" s="786">
        <f t="shared" si="15"/>
        <v>0</v>
      </c>
      <c r="I326" s="783">
        <f t="shared" si="16"/>
        <v>0</v>
      </c>
      <c r="J326" s="783"/>
      <c r="K326" s="803"/>
      <c r="L326" s="787"/>
      <c r="M326" s="803"/>
      <c r="N326" s="787"/>
      <c r="O326" s="787"/>
    </row>
    <row r="327" spans="3:15">
      <c r="C327" s="779">
        <f>IF(D274="","-",+C326+1)</f>
        <v>2060</v>
      </c>
      <c r="D327" s="727">
        <f t="shared" si="12"/>
        <v>0</v>
      </c>
      <c r="E327" s="780">
        <f t="shared" si="17"/>
        <v>0</v>
      </c>
      <c r="F327" s="727">
        <f t="shared" si="13"/>
        <v>0</v>
      </c>
      <c r="G327" s="785">
        <f t="shared" si="14"/>
        <v>0</v>
      </c>
      <c r="H327" s="786">
        <f t="shared" si="15"/>
        <v>0</v>
      </c>
      <c r="I327" s="783">
        <f t="shared" si="16"/>
        <v>0</v>
      </c>
      <c r="J327" s="783"/>
      <c r="K327" s="803"/>
      <c r="L327" s="787"/>
      <c r="M327" s="803"/>
      <c r="N327" s="787"/>
      <c r="O327" s="787"/>
    </row>
    <row r="328" spans="3:15">
      <c r="C328" s="779">
        <f>IF(D274="","-",+C327+1)</f>
        <v>2061</v>
      </c>
      <c r="D328" s="727">
        <f t="shared" si="12"/>
        <v>0</v>
      </c>
      <c r="E328" s="780">
        <f t="shared" si="17"/>
        <v>0</v>
      </c>
      <c r="F328" s="727">
        <f t="shared" si="13"/>
        <v>0</v>
      </c>
      <c r="G328" s="785">
        <f t="shared" si="14"/>
        <v>0</v>
      </c>
      <c r="H328" s="786">
        <f t="shared" si="15"/>
        <v>0</v>
      </c>
      <c r="I328" s="783">
        <f t="shared" si="16"/>
        <v>0</v>
      </c>
      <c r="J328" s="783"/>
      <c r="K328" s="803"/>
      <c r="L328" s="787"/>
      <c r="M328" s="803"/>
      <c r="N328" s="787"/>
      <c r="O328" s="787"/>
    </row>
    <row r="329" spans="3:15">
      <c r="C329" s="779">
        <f>IF(D274="","-",+C328+1)</f>
        <v>2062</v>
      </c>
      <c r="D329" s="727">
        <f t="shared" si="12"/>
        <v>0</v>
      </c>
      <c r="E329" s="780">
        <f t="shared" si="17"/>
        <v>0</v>
      </c>
      <c r="F329" s="727">
        <f t="shared" si="13"/>
        <v>0</v>
      </c>
      <c r="G329" s="785">
        <f t="shared" si="14"/>
        <v>0</v>
      </c>
      <c r="H329" s="786">
        <f t="shared" si="15"/>
        <v>0</v>
      </c>
      <c r="I329" s="783">
        <f t="shared" si="16"/>
        <v>0</v>
      </c>
      <c r="J329" s="783"/>
      <c r="K329" s="803"/>
      <c r="L329" s="787"/>
      <c r="M329" s="803"/>
      <c r="N329" s="787"/>
      <c r="O329" s="787"/>
    </row>
    <row r="330" spans="3:15">
      <c r="C330" s="779">
        <f>IF(D274="","-",+C329+1)</f>
        <v>2063</v>
      </c>
      <c r="D330" s="727">
        <f t="shared" si="12"/>
        <v>0</v>
      </c>
      <c r="E330" s="780">
        <f t="shared" si="17"/>
        <v>0</v>
      </c>
      <c r="F330" s="727">
        <f t="shared" si="13"/>
        <v>0</v>
      </c>
      <c r="G330" s="785">
        <f t="shared" si="14"/>
        <v>0</v>
      </c>
      <c r="H330" s="786">
        <f t="shared" si="15"/>
        <v>0</v>
      </c>
      <c r="I330" s="783">
        <f t="shared" si="16"/>
        <v>0</v>
      </c>
      <c r="J330" s="783"/>
      <c r="K330" s="803"/>
      <c r="L330" s="787"/>
      <c r="M330" s="803"/>
      <c r="N330" s="787"/>
      <c r="O330" s="787"/>
    </row>
    <row r="331" spans="3:15">
      <c r="C331" s="779">
        <f>IF(D274="","-",+C330+1)</f>
        <v>2064</v>
      </c>
      <c r="D331" s="727">
        <f t="shared" si="12"/>
        <v>0</v>
      </c>
      <c r="E331" s="780">
        <f t="shared" si="17"/>
        <v>0</v>
      </c>
      <c r="F331" s="727">
        <f t="shared" si="13"/>
        <v>0</v>
      </c>
      <c r="G331" s="785">
        <f t="shared" si="14"/>
        <v>0</v>
      </c>
      <c r="H331" s="786">
        <f t="shared" si="15"/>
        <v>0</v>
      </c>
      <c r="I331" s="783">
        <f t="shared" si="16"/>
        <v>0</v>
      </c>
      <c r="J331" s="783"/>
      <c r="K331" s="803"/>
      <c r="L331" s="787"/>
      <c r="M331" s="803"/>
      <c r="N331" s="787"/>
      <c r="O331" s="787"/>
    </row>
    <row r="332" spans="3:15">
      <c r="C332" s="779">
        <f>IF(D274="","-",+C331+1)</f>
        <v>2065</v>
      </c>
      <c r="D332" s="727">
        <f t="shared" si="12"/>
        <v>0</v>
      </c>
      <c r="E332" s="780">
        <f t="shared" si="17"/>
        <v>0</v>
      </c>
      <c r="F332" s="727">
        <f t="shared" si="13"/>
        <v>0</v>
      </c>
      <c r="G332" s="785">
        <f t="shared" si="14"/>
        <v>0</v>
      </c>
      <c r="H332" s="786">
        <f t="shared" si="15"/>
        <v>0</v>
      </c>
      <c r="I332" s="783">
        <f t="shared" si="16"/>
        <v>0</v>
      </c>
      <c r="J332" s="783"/>
      <c r="K332" s="803"/>
      <c r="L332" s="787"/>
      <c r="M332" s="803"/>
      <c r="N332" s="787"/>
      <c r="O332" s="787"/>
    </row>
    <row r="333" spans="3:15">
      <c r="C333" s="779">
        <f>IF(D274="","-",+C332+1)</f>
        <v>2066</v>
      </c>
      <c r="D333" s="727">
        <f t="shared" si="12"/>
        <v>0</v>
      </c>
      <c r="E333" s="780">
        <f t="shared" si="17"/>
        <v>0</v>
      </c>
      <c r="F333" s="727">
        <f t="shared" si="13"/>
        <v>0</v>
      </c>
      <c r="G333" s="785">
        <f t="shared" si="14"/>
        <v>0</v>
      </c>
      <c r="H333" s="786">
        <f t="shared" si="15"/>
        <v>0</v>
      </c>
      <c r="I333" s="783">
        <f t="shared" si="16"/>
        <v>0</v>
      </c>
      <c r="J333" s="783"/>
      <c r="K333" s="803"/>
      <c r="L333" s="787"/>
      <c r="M333" s="803"/>
      <c r="N333" s="787"/>
      <c r="O333" s="787"/>
    </row>
    <row r="334" spans="3:15">
      <c r="C334" s="779">
        <f>IF(D274="","-",+C333+1)</f>
        <v>2067</v>
      </c>
      <c r="D334" s="727">
        <f t="shared" si="12"/>
        <v>0</v>
      </c>
      <c r="E334" s="780">
        <f t="shared" si="17"/>
        <v>0</v>
      </c>
      <c r="F334" s="727">
        <f t="shared" si="13"/>
        <v>0</v>
      </c>
      <c r="G334" s="785">
        <f t="shared" si="14"/>
        <v>0</v>
      </c>
      <c r="H334" s="786">
        <f t="shared" si="15"/>
        <v>0</v>
      </c>
      <c r="I334" s="783">
        <f t="shared" si="16"/>
        <v>0</v>
      </c>
      <c r="J334" s="783"/>
      <c r="K334" s="803"/>
      <c r="L334" s="787"/>
      <c r="M334" s="803"/>
      <c r="N334" s="787"/>
      <c r="O334" s="787"/>
    </row>
    <row r="335" spans="3:15">
      <c r="C335" s="779">
        <f>IF(D274="","-",+C334+1)</f>
        <v>2068</v>
      </c>
      <c r="D335" s="727">
        <f t="shared" si="12"/>
        <v>0</v>
      </c>
      <c r="E335" s="780">
        <f t="shared" si="17"/>
        <v>0</v>
      </c>
      <c r="F335" s="727">
        <f t="shared" si="13"/>
        <v>0</v>
      </c>
      <c r="G335" s="785">
        <f t="shared" si="14"/>
        <v>0</v>
      </c>
      <c r="H335" s="786">
        <f t="shared" si="15"/>
        <v>0</v>
      </c>
      <c r="I335" s="783">
        <f t="shared" si="16"/>
        <v>0</v>
      </c>
      <c r="J335" s="783"/>
      <c r="K335" s="803"/>
      <c r="L335" s="787"/>
      <c r="M335" s="803"/>
      <c r="N335" s="787"/>
      <c r="O335" s="787"/>
    </row>
    <row r="336" spans="3:15">
      <c r="C336" s="779">
        <f>IF(D274="","-",+C335+1)</f>
        <v>2069</v>
      </c>
      <c r="D336" s="727">
        <f t="shared" si="12"/>
        <v>0</v>
      </c>
      <c r="E336" s="780">
        <f t="shared" si="17"/>
        <v>0</v>
      </c>
      <c r="F336" s="727">
        <f t="shared" si="13"/>
        <v>0</v>
      </c>
      <c r="G336" s="785">
        <f t="shared" si="14"/>
        <v>0</v>
      </c>
      <c r="H336" s="786">
        <f t="shared" si="15"/>
        <v>0</v>
      </c>
      <c r="I336" s="783">
        <f t="shared" si="16"/>
        <v>0</v>
      </c>
      <c r="J336" s="783"/>
      <c r="K336" s="803"/>
      <c r="L336" s="787"/>
      <c r="M336" s="803"/>
      <c r="N336" s="787"/>
      <c r="O336" s="787"/>
    </row>
    <row r="337" spans="1:16">
      <c r="C337" s="779">
        <f>IF(D274="","-",+C336+1)</f>
        <v>2070</v>
      </c>
      <c r="D337" s="727">
        <f t="shared" si="12"/>
        <v>0</v>
      </c>
      <c r="E337" s="780">
        <f t="shared" si="17"/>
        <v>0</v>
      </c>
      <c r="F337" s="727">
        <f t="shared" si="13"/>
        <v>0</v>
      </c>
      <c r="G337" s="785">
        <f t="shared" si="14"/>
        <v>0</v>
      </c>
      <c r="H337" s="786">
        <f t="shared" si="15"/>
        <v>0</v>
      </c>
      <c r="I337" s="783">
        <f t="shared" si="16"/>
        <v>0</v>
      </c>
      <c r="J337" s="783"/>
      <c r="K337" s="803"/>
      <c r="L337" s="787"/>
      <c r="M337" s="803"/>
      <c r="N337" s="787"/>
      <c r="O337" s="787"/>
    </row>
    <row r="338" spans="1:16">
      <c r="C338" s="779">
        <f>IF(D274="","-",+C337+1)</f>
        <v>2071</v>
      </c>
      <c r="D338" s="727">
        <f t="shared" si="12"/>
        <v>0</v>
      </c>
      <c r="E338" s="780">
        <f t="shared" si="17"/>
        <v>0</v>
      </c>
      <c r="F338" s="727">
        <f t="shared" si="13"/>
        <v>0</v>
      </c>
      <c r="G338" s="785">
        <f t="shared" si="14"/>
        <v>0</v>
      </c>
      <c r="H338" s="786">
        <f t="shared" si="15"/>
        <v>0</v>
      </c>
      <c r="I338" s="783">
        <f t="shared" si="16"/>
        <v>0</v>
      </c>
      <c r="J338" s="783"/>
      <c r="K338" s="803"/>
      <c r="L338" s="787"/>
      <c r="M338" s="803"/>
      <c r="N338" s="787"/>
      <c r="O338" s="787"/>
    </row>
    <row r="339" spans="1:16" ht="13.5" thickBot="1">
      <c r="C339" s="789">
        <f>IF(D274="","-",+C338+1)</f>
        <v>2072</v>
      </c>
      <c r="D339" s="790">
        <f t="shared" si="12"/>
        <v>0</v>
      </c>
      <c r="E339" s="791">
        <f t="shared" si="17"/>
        <v>0</v>
      </c>
      <c r="F339" s="790">
        <f t="shared" si="13"/>
        <v>0</v>
      </c>
      <c r="G339" s="792">
        <f t="shared" si="14"/>
        <v>0</v>
      </c>
      <c r="H339" s="792">
        <f t="shared" si="15"/>
        <v>0</v>
      </c>
      <c r="I339" s="793">
        <f t="shared" si="16"/>
        <v>0</v>
      </c>
      <c r="J339" s="783"/>
      <c r="K339" s="804"/>
      <c r="L339" s="794"/>
      <c r="M339" s="804"/>
      <c r="N339" s="794"/>
      <c r="O339" s="794"/>
    </row>
    <row r="340" spans="1:16">
      <c r="C340" s="727" t="s">
        <v>93</v>
      </c>
      <c r="D340" s="721"/>
      <c r="E340" s="721">
        <f>SUM(E280:E339)</f>
        <v>5805543</v>
      </c>
      <c r="F340" s="721"/>
      <c r="G340" s="721">
        <f>SUM(G280:G339)</f>
        <v>18475416.756405465</v>
      </c>
      <c r="H340" s="721">
        <f>SUM(H280:H339)</f>
        <v>18475416.756405465</v>
      </c>
      <c r="I340" s="721">
        <f>SUM(I280:I339)</f>
        <v>0</v>
      </c>
      <c r="J340" s="721"/>
      <c r="K340" s="721"/>
      <c r="L340" s="721"/>
      <c r="M340" s="721"/>
      <c r="N340" s="721"/>
      <c r="O340" s="308"/>
    </row>
    <row r="341" spans="1:16">
      <c r="D341" s="529"/>
      <c r="E341" s="308"/>
      <c r="F341" s="308"/>
      <c r="G341" s="308"/>
      <c r="H341" s="699"/>
      <c r="I341" s="699"/>
      <c r="J341" s="721"/>
      <c r="K341" s="699"/>
      <c r="L341" s="699"/>
      <c r="M341" s="699"/>
      <c r="N341" s="699"/>
      <c r="O341" s="308"/>
    </row>
    <row r="342" spans="1:16">
      <c r="C342" s="308" t="s">
        <v>15</v>
      </c>
      <c r="D342" s="529"/>
      <c r="E342" s="308"/>
      <c r="F342" s="308"/>
      <c r="G342" s="308"/>
      <c r="H342" s="699"/>
      <c r="I342" s="699"/>
      <c r="J342" s="721"/>
      <c r="K342" s="699"/>
      <c r="L342" s="699"/>
      <c r="M342" s="699"/>
      <c r="N342" s="699"/>
      <c r="O342" s="308"/>
    </row>
    <row r="343" spans="1:16">
      <c r="C343" s="308"/>
      <c r="D343" s="529"/>
      <c r="E343" s="308"/>
      <c r="F343" s="308"/>
      <c r="G343" s="308"/>
      <c r="H343" s="699"/>
      <c r="I343" s="699"/>
      <c r="J343" s="721"/>
      <c r="K343" s="699"/>
      <c r="L343" s="699"/>
      <c r="M343" s="699"/>
      <c r="N343" s="699"/>
      <c r="O343" s="308"/>
    </row>
    <row r="344" spans="1:16">
      <c r="C344" s="740" t="s">
        <v>16</v>
      </c>
      <c r="D344" s="727"/>
      <c r="E344" s="727"/>
      <c r="F344" s="727"/>
      <c r="G344" s="721"/>
      <c r="H344" s="721"/>
      <c r="I344" s="795"/>
      <c r="J344" s="795"/>
      <c r="K344" s="795"/>
      <c r="L344" s="795"/>
      <c r="M344" s="795"/>
      <c r="N344" s="795"/>
      <c r="O344" s="308"/>
    </row>
    <row r="345" spans="1:16">
      <c r="C345" s="726" t="s">
        <v>273</v>
      </c>
      <c r="D345" s="727"/>
      <c r="E345" s="727"/>
      <c r="F345" s="727"/>
      <c r="G345" s="721"/>
      <c r="H345" s="721"/>
      <c r="I345" s="795"/>
      <c r="J345" s="795"/>
      <c r="K345" s="795"/>
      <c r="L345" s="795"/>
      <c r="M345" s="795"/>
      <c r="N345" s="795"/>
      <c r="O345" s="308"/>
    </row>
    <row r="346" spans="1:16">
      <c r="C346" s="726" t="s">
        <v>94</v>
      </c>
      <c r="D346" s="727"/>
      <c r="E346" s="727"/>
      <c r="F346" s="727"/>
      <c r="G346" s="721"/>
      <c r="H346" s="721"/>
      <c r="I346" s="795"/>
      <c r="J346" s="795"/>
      <c r="K346" s="795"/>
      <c r="L346" s="795"/>
      <c r="M346" s="795"/>
      <c r="N346" s="795"/>
      <c r="O346" s="308"/>
    </row>
    <row r="347" spans="1:16">
      <c r="C347" s="726"/>
      <c r="D347" s="727"/>
      <c r="E347" s="727"/>
      <c r="F347" s="727"/>
      <c r="G347" s="721"/>
      <c r="H347" s="721"/>
      <c r="I347" s="795"/>
      <c r="J347" s="795"/>
      <c r="K347" s="795"/>
      <c r="L347" s="795"/>
      <c r="M347" s="795"/>
      <c r="N347" s="795"/>
      <c r="O347" s="308"/>
    </row>
    <row r="348" spans="1:16">
      <c r="C348" s="1552" t="s">
        <v>8</v>
      </c>
      <c r="D348" s="1552"/>
      <c r="E348" s="1552"/>
      <c r="F348" s="1552"/>
      <c r="G348" s="1552"/>
      <c r="H348" s="1552"/>
      <c r="I348" s="1552"/>
      <c r="J348" s="1552"/>
      <c r="K348" s="1552"/>
      <c r="L348" s="1552"/>
      <c r="M348" s="1552"/>
      <c r="N348" s="1552"/>
      <c r="O348" s="1552"/>
    </row>
    <row r="349" spans="1:16">
      <c r="C349" s="1552"/>
      <c r="D349" s="1552"/>
      <c r="E349" s="1552"/>
      <c r="F349" s="1552"/>
      <c r="G349" s="1552"/>
      <c r="H349" s="1552"/>
      <c r="I349" s="1552"/>
      <c r="J349" s="1552"/>
      <c r="K349" s="1552"/>
      <c r="L349" s="1552"/>
      <c r="M349" s="1552"/>
      <c r="N349" s="1552"/>
      <c r="O349" s="1552"/>
    </row>
    <row r="350" spans="1:16" ht="20.25">
      <c r="A350" s="728" t="str">
        <f>""&amp;A274&amp;" Worksheet J -  ATRR PROJECTED Calculation for PJM Projects Charged to Benefiting Zones"</f>
        <v xml:space="preserve"> Worksheet J -  ATRR PROJECTED Calculation for PJM Projects Charged to Benefiting Zones</v>
      </c>
      <c r="B350" s="341"/>
      <c r="C350" s="716"/>
      <c r="D350" s="529"/>
      <c r="E350" s="308"/>
      <c r="F350" s="698"/>
      <c r="G350" s="308"/>
      <c r="H350" s="699"/>
      <c r="K350" s="555"/>
      <c r="L350" s="555"/>
      <c r="M350" s="555"/>
      <c r="N350" s="644" t="str">
        <f>"Page "&amp;SUM(P$8:P350)&amp;" of "</f>
        <v xml:space="preserve">Page 5 of </v>
      </c>
      <c r="O350" s="645">
        <f>COUNT(P$8:P$56656)</f>
        <v>11</v>
      </c>
      <c r="P350" s="172">
        <v>1</v>
      </c>
    </row>
    <row r="351" spans="1:16">
      <c r="B351" s="341"/>
      <c r="C351" s="308"/>
      <c r="D351" s="529"/>
      <c r="E351" s="308"/>
      <c r="F351" s="308"/>
      <c r="G351" s="308"/>
      <c r="H351" s="699"/>
      <c r="I351" s="308"/>
      <c r="J351" s="418"/>
      <c r="K351" s="308"/>
      <c r="L351" s="308"/>
      <c r="M351" s="308"/>
      <c r="N351" s="308"/>
      <c r="O351" s="308"/>
    </row>
    <row r="352" spans="1:16" ht="18">
      <c r="B352" s="648" t="s">
        <v>474</v>
      </c>
      <c r="C352" s="730" t="s">
        <v>95</v>
      </c>
      <c r="D352" s="529"/>
      <c r="E352" s="308"/>
      <c r="F352" s="308"/>
      <c r="G352" s="308"/>
      <c r="H352" s="699"/>
      <c r="I352" s="699"/>
      <c r="J352" s="721"/>
      <c r="K352" s="699"/>
      <c r="L352" s="699"/>
      <c r="M352" s="699"/>
      <c r="N352" s="699"/>
      <c r="O352" s="308"/>
    </row>
    <row r="353" spans="2:15" ht="18.75">
      <c r="B353" s="648"/>
      <c r="C353" s="647"/>
      <c r="D353" s="529"/>
      <c r="E353" s="308"/>
      <c r="F353" s="308"/>
      <c r="G353" s="308"/>
      <c r="H353" s="699"/>
      <c r="I353" s="699"/>
      <c r="J353" s="721"/>
      <c r="K353" s="699"/>
      <c r="L353" s="699"/>
      <c r="M353" s="699"/>
      <c r="N353" s="699"/>
      <c r="O353" s="308"/>
    </row>
    <row r="354" spans="2:15" ht="18.75">
      <c r="B354" s="648"/>
      <c r="C354" s="647" t="s">
        <v>96</v>
      </c>
      <c r="D354" s="529"/>
      <c r="E354" s="308"/>
      <c r="F354" s="308"/>
      <c r="G354" s="308"/>
      <c r="H354" s="699"/>
      <c r="I354" s="699"/>
      <c r="J354" s="721"/>
      <c r="K354" s="699"/>
      <c r="L354" s="699"/>
      <c r="M354" s="699"/>
      <c r="N354" s="699"/>
      <c r="O354" s="308"/>
    </row>
    <row r="355" spans="2:15" ht="15.75" thickBot="1">
      <c r="C355" s="239"/>
      <c r="D355" s="529"/>
      <c r="E355" s="308"/>
      <c r="F355" s="308"/>
      <c r="G355" s="308"/>
      <c r="H355" s="699"/>
      <c r="I355" s="699"/>
      <c r="J355" s="721"/>
      <c r="K355" s="699"/>
      <c r="L355" s="699"/>
      <c r="M355" s="699"/>
      <c r="N355" s="699"/>
      <c r="O355" s="308"/>
    </row>
    <row r="356" spans="2:15" ht="15.75">
      <c r="C356" s="650" t="s">
        <v>97</v>
      </c>
      <c r="D356" s="529"/>
      <c r="E356" s="308"/>
      <c r="F356" s="308"/>
      <c r="G356" s="797"/>
      <c r="H356" s="308" t="s">
        <v>76</v>
      </c>
      <c r="I356" s="308"/>
      <c r="J356" s="418"/>
      <c r="K356" s="731" t="s">
        <v>101</v>
      </c>
      <c r="L356" s="732"/>
      <c r="M356" s="733"/>
      <c r="N356" s="734">
        <f>IF(I362=0,0,VLOOKUP(I362,C369:O428,5))</f>
        <v>7605280.7195760701</v>
      </c>
      <c r="O356" s="308"/>
    </row>
    <row r="357" spans="2:15" ht="15.75">
      <c r="C357" s="650"/>
      <c r="D357" s="529"/>
      <c r="E357" s="308"/>
      <c r="F357" s="308"/>
      <c r="G357" s="308"/>
      <c r="H357" s="735"/>
      <c r="I357" s="735"/>
      <c r="J357" s="736"/>
      <c r="K357" s="737" t="s">
        <v>102</v>
      </c>
      <c r="L357" s="738"/>
      <c r="M357" s="418"/>
      <c r="N357" s="739">
        <f>IF(I362=0,0,VLOOKUP(I362,C369:O428,6))</f>
        <v>7605280.7195760701</v>
      </c>
      <c r="O357" s="308"/>
    </row>
    <row r="358" spans="2:15" ht="13.5" thickBot="1">
      <c r="C358" s="740" t="s">
        <v>98</v>
      </c>
      <c r="D358" s="1553" t="s">
        <v>818</v>
      </c>
      <c r="E358" s="1553"/>
      <c r="F358" s="1553"/>
      <c r="G358" s="1553"/>
      <c r="H358" s="1553"/>
      <c r="I358" s="1553"/>
      <c r="J358" s="721"/>
      <c r="K358" s="741" t="s">
        <v>240</v>
      </c>
      <c r="L358" s="742"/>
      <c r="M358" s="742"/>
      <c r="N358" s="743">
        <f>+N357-N356</f>
        <v>0</v>
      </c>
      <c r="O358" s="308"/>
    </row>
    <row r="359" spans="2:15">
      <c r="C359" s="744"/>
      <c r="D359" s="1553"/>
      <c r="E359" s="1553"/>
      <c r="F359" s="1553"/>
      <c r="G359" s="1553"/>
      <c r="H359" s="1553"/>
      <c r="I359" s="1553"/>
      <c r="J359" s="721"/>
      <c r="K359" s="699"/>
      <c r="L359" s="699"/>
      <c r="M359" s="699"/>
      <c r="N359" s="699"/>
      <c r="O359" s="308"/>
    </row>
    <row r="360" spans="2:15" ht="13.5" thickBot="1">
      <c r="C360" s="747"/>
      <c r="D360" s="748"/>
      <c r="E360" s="746"/>
      <c r="F360" s="746"/>
      <c r="G360" s="746"/>
      <c r="H360" s="746"/>
      <c r="I360" s="746"/>
      <c r="J360" s="749"/>
      <c r="K360" s="746"/>
      <c r="L360" s="746"/>
      <c r="M360" s="746"/>
      <c r="N360" s="746"/>
      <c r="O360" s="341"/>
    </row>
    <row r="361" spans="2:15" ht="13.5" thickBot="1">
      <c r="C361" s="750" t="s">
        <v>99</v>
      </c>
      <c r="D361" s="751"/>
      <c r="E361" s="751"/>
      <c r="F361" s="751"/>
      <c r="G361" s="751"/>
      <c r="H361" s="751"/>
      <c r="I361" s="752"/>
      <c r="J361" s="753"/>
      <c r="K361" s="308"/>
      <c r="L361" s="308"/>
      <c r="M361" s="308"/>
      <c r="N361" s="308"/>
      <c r="O361" s="754"/>
    </row>
    <row r="362" spans="2:15" ht="15">
      <c r="C362" s="755" t="s">
        <v>77</v>
      </c>
      <c r="D362" s="799">
        <v>64354283</v>
      </c>
      <c r="E362" s="716" t="s">
        <v>78</v>
      </c>
      <c r="G362" s="756"/>
      <c r="H362" s="756"/>
      <c r="I362" s="757">
        <f>$L$26</f>
        <v>2022</v>
      </c>
      <c r="J362" s="545"/>
      <c r="K362" s="1554" t="s">
        <v>249</v>
      </c>
      <c r="L362" s="1554"/>
      <c r="M362" s="1554"/>
      <c r="N362" s="1554"/>
      <c r="O362" s="1554"/>
    </row>
    <row r="363" spans="2:15">
      <c r="C363" s="755" t="s">
        <v>80</v>
      </c>
      <c r="D363" s="800">
        <v>2014</v>
      </c>
      <c r="E363" s="755" t="s">
        <v>81</v>
      </c>
      <c r="F363" s="756"/>
      <c r="H363" s="172"/>
      <c r="I363" s="801">
        <f>IF(G356="",0,$F$17)</f>
        <v>0</v>
      </c>
      <c r="J363" s="758"/>
      <c r="K363" s="721" t="s">
        <v>249</v>
      </c>
    </row>
    <row r="364" spans="2:15">
      <c r="C364" s="755" t="s">
        <v>82</v>
      </c>
      <c r="D364" s="799">
        <v>10</v>
      </c>
      <c r="E364" s="755" t="s">
        <v>83</v>
      </c>
      <c r="F364" s="756"/>
      <c r="H364" s="172"/>
      <c r="I364" s="759">
        <f>$G$70</f>
        <v>0.11486185889303469</v>
      </c>
      <c r="J364" s="760"/>
      <c r="K364" s="172" t="str">
        <f>"          INPUT PROJECTED ARR (WITH &amp; WITHOUT INCENTIVES) FROM EACH PRIOR YEAR"</f>
        <v xml:space="preserve">          INPUT PROJECTED ARR (WITH &amp; WITHOUT INCENTIVES) FROM EACH PRIOR YEAR</v>
      </c>
    </row>
    <row r="365" spans="2:15">
      <c r="C365" s="755" t="s">
        <v>84</v>
      </c>
      <c r="D365" s="761">
        <f>$G$79</f>
        <v>36</v>
      </c>
      <c r="E365" s="755" t="s">
        <v>85</v>
      </c>
      <c r="F365" s="756"/>
      <c r="H365" s="172"/>
      <c r="I365" s="759">
        <f>IF(G356="",I364,$G$69)</f>
        <v>0.11486185889303469</v>
      </c>
      <c r="J365" s="762"/>
      <c r="K365" s="172" t="s">
        <v>162</v>
      </c>
    </row>
    <row r="366" spans="2:15" ht="13.5" thickBot="1">
      <c r="C366" s="755" t="s">
        <v>86</v>
      </c>
      <c r="D366" s="798" t="s">
        <v>814</v>
      </c>
      <c r="E366" s="763" t="s">
        <v>87</v>
      </c>
      <c r="F366" s="764"/>
      <c r="G366" s="765"/>
      <c r="H366" s="765"/>
      <c r="I366" s="743">
        <f>IF(D362=0,0,D362/D365)</f>
        <v>1787618.9722222222</v>
      </c>
      <c r="J366" s="721"/>
      <c r="K366" s="721" t="s">
        <v>168</v>
      </c>
      <c r="L366" s="721"/>
      <c r="M366" s="721"/>
      <c r="N366" s="721"/>
      <c r="O366" s="418"/>
    </row>
    <row r="367" spans="2:15" ht="51">
      <c r="B367" s="836"/>
      <c r="C367" s="766" t="s">
        <v>77</v>
      </c>
      <c r="D367" s="767" t="s">
        <v>88</v>
      </c>
      <c r="E367" s="768" t="s">
        <v>89</v>
      </c>
      <c r="F367" s="767" t="s">
        <v>90</v>
      </c>
      <c r="G367" s="768" t="s">
        <v>161</v>
      </c>
      <c r="H367" s="769" t="s">
        <v>161</v>
      </c>
      <c r="I367" s="766" t="s">
        <v>100</v>
      </c>
      <c r="J367" s="770"/>
      <c r="K367" s="768" t="s">
        <v>170</v>
      </c>
      <c r="L367" s="771"/>
      <c r="M367" s="768" t="s">
        <v>170</v>
      </c>
      <c r="N367" s="771"/>
      <c r="O367" s="771"/>
    </row>
    <row r="368" spans="2:15" ht="13.5" thickBot="1">
      <c r="C368" s="772" t="s">
        <v>477</v>
      </c>
      <c r="D368" s="773" t="s">
        <v>478</v>
      </c>
      <c r="E368" s="772" t="s">
        <v>371</v>
      </c>
      <c r="F368" s="773" t="s">
        <v>478</v>
      </c>
      <c r="G368" s="774" t="s">
        <v>103</v>
      </c>
      <c r="H368" s="775" t="s">
        <v>105</v>
      </c>
      <c r="I368" s="776" t="s">
        <v>17</v>
      </c>
      <c r="J368" s="777"/>
      <c r="K368" s="774" t="s">
        <v>92</v>
      </c>
      <c r="L368" s="778"/>
      <c r="M368" s="774" t="s">
        <v>105</v>
      </c>
      <c r="N368" s="778"/>
      <c r="O368" s="778"/>
    </row>
    <row r="369" spans="3:15">
      <c r="C369" s="779">
        <f>IF(D363= "","-",D363)</f>
        <v>2014</v>
      </c>
      <c r="D369" s="727">
        <f>+D362</f>
        <v>64354283</v>
      </c>
      <c r="E369" s="780">
        <f>+I366/12*(12-D364)</f>
        <v>297936.49537037039</v>
      </c>
      <c r="F369" s="727">
        <f>+D369-E369</f>
        <v>64056346.504629627</v>
      </c>
      <c r="G369" s="988">
        <f>+$I$96*((D369+F369)/2)+E369</f>
        <v>7672678.2986336323</v>
      </c>
      <c r="H369" s="989">
        <f>$I$97*((D369+F369)/2)+E369</f>
        <v>7672678.2986336323</v>
      </c>
      <c r="I369" s="783">
        <f>+H369-G369</f>
        <v>0</v>
      </c>
      <c r="J369" s="783"/>
      <c r="K369" s="802" t="s">
        <v>819</v>
      </c>
      <c r="L369" s="784"/>
      <c r="M369" s="802" t="s">
        <v>820</v>
      </c>
      <c r="N369" s="784"/>
      <c r="O369" s="784"/>
    </row>
    <row r="370" spans="3:15">
      <c r="C370" s="779">
        <f>IF(D363="","-",+C369+1)</f>
        <v>2015</v>
      </c>
      <c r="D370" s="727">
        <f t="shared" ref="D370:D428" si="18">F369</f>
        <v>64056346.504629627</v>
      </c>
      <c r="E370" s="780">
        <f>IF(D370&gt;$I$366,$I$366,D370)</f>
        <v>1787618.9722222222</v>
      </c>
      <c r="F370" s="727">
        <f t="shared" ref="F370:F428" si="19">+D370-E370</f>
        <v>62268727.532407403</v>
      </c>
      <c r="G370" s="785">
        <f t="shared" ref="G370:G428" si="20">+$I$96*((D370+F370)/2)+E370</f>
        <v>9042585.3865693752</v>
      </c>
      <c r="H370" s="786">
        <f t="shared" ref="H370:H428" si="21">$I$97*((D370+F370)/2)+E370</f>
        <v>9042585.3865693752</v>
      </c>
      <c r="I370" s="783">
        <f t="shared" ref="I370:I428" si="22">+H370-G370</f>
        <v>0</v>
      </c>
      <c r="J370" s="783"/>
      <c r="K370" s="803">
        <v>1745562</v>
      </c>
      <c r="L370" s="787"/>
      <c r="M370" s="803">
        <v>1745562</v>
      </c>
      <c r="N370" s="787"/>
      <c r="O370" s="787"/>
    </row>
    <row r="371" spans="3:15">
      <c r="C371" s="779">
        <f>IF(D363="","-",+C370+1)</f>
        <v>2016</v>
      </c>
      <c r="D371" s="727">
        <f t="shared" si="18"/>
        <v>62268727.532407403</v>
      </c>
      <c r="E371" s="780">
        <f t="shared" ref="E371:E428" si="23">IF(D371&gt;$I$366,$I$366,D371)</f>
        <v>1787618.9722222222</v>
      </c>
      <c r="F371" s="727">
        <f t="shared" si="19"/>
        <v>60481108.560185179</v>
      </c>
      <c r="G371" s="785">
        <f t="shared" si="20"/>
        <v>8837256.1484274752</v>
      </c>
      <c r="H371" s="786">
        <f t="shared" si="21"/>
        <v>8837256.1484274752</v>
      </c>
      <c r="I371" s="783">
        <f t="shared" si="22"/>
        <v>0</v>
      </c>
      <c r="J371" s="783"/>
      <c r="K371" s="803">
        <v>1596924</v>
      </c>
      <c r="L371" s="787"/>
      <c r="M371" s="803">
        <v>1596924</v>
      </c>
      <c r="N371" s="787"/>
      <c r="O371" s="787"/>
    </row>
    <row r="372" spans="3:15">
      <c r="C372" s="779">
        <f>IF(D363="","-",+C371+1)</f>
        <v>2017</v>
      </c>
      <c r="D372" s="727">
        <f t="shared" si="18"/>
        <v>60481108.560185179</v>
      </c>
      <c r="E372" s="780">
        <f t="shared" si="23"/>
        <v>1787618.9722222222</v>
      </c>
      <c r="F372" s="727">
        <f t="shared" si="19"/>
        <v>58693489.587962955</v>
      </c>
      <c r="G372" s="785">
        <f t="shared" si="20"/>
        <v>8631926.9102855735</v>
      </c>
      <c r="H372" s="786">
        <f t="shared" si="21"/>
        <v>8631926.9102855735</v>
      </c>
      <c r="I372" s="783">
        <f t="shared" si="22"/>
        <v>0</v>
      </c>
      <c r="J372" s="783"/>
      <c r="K372" s="803">
        <v>8620533</v>
      </c>
      <c r="L372" s="787"/>
      <c r="M372" s="803">
        <v>8620533</v>
      </c>
      <c r="N372" s="787"/>
      <c r="O372" s="787"/>
    </row>
    <row r="373" spans="3:15">
      <c r="C373" s="1318">
        <f>IF(D363="","-",+C372+1)</f>
        <v>2018</v>
      </c>
      <c r="D373" s="727">
        <f t="shared" si="18"/>
        <v>58693489.587962955</v>
      </c>
      <c r="E373" s="780">
        <f t="shared" si="23"/>
        <v>1787618.9722222222</v>
      </c>
      <c r="F373" s="727">
        <f t="shared" si="19"/>
        <v>56905870.615740731</v>
      </c>
      <c r="G373" s="785">
        <f t="shared" si="20"/>
        <v>8426597.6721436735</v>
      </c>
      <c r="H373" s="786">
        <f t="shared" si="21"/>
        <v>8426597.6721436735</v>
      </c>
      <c r="I373" s="783">
        <f t="shared" si="22"/>
        <v>0</v>
      </c>
      <c r="J373" s="783"/>
      <c r="K373" s="803">
        <v>6863859</v>
      </c>
      <c r="L373" s="787"/>
      <c r="M373" s="803">
        <v>6863859</v>
      </c>
      <c r="N373" s="787"/>
      <c r="O373" s="787"/>
    </row>
    <row r="374" spans="3:15">
      <c r="C374" s="1298">
        <f>IF(D363="","-",+C373+1)</f>
        <v>2019</v>
      </c>
      <c r="D374" s="727">
        <f t="shared" si="18"/>
        <v>56905870.615740731</v>
      </c>
      <c r="E374" s="780">
        <f t="shared" si="23"/>
        <v>1787618.9722222222</v>
      </c>
      <c r="F374" s="727">
        <f t="shared" si="19"/>
        <v>55118251.643518507</v>
      </c>
      <c r="G374" s="785">
        <f t="shared" si="20"/>
        <v>8221268.4340017727</v>
      </c>
      <c r="H374" s="786">
        <f t="shared" si="21"/>
        <v>8221268.4340017727</v>
      </c>
      <c r="I374" s="783">
        <f t="shared" si="22"/>
        <v>0</v>
      </c>
      <c r="J374" s="783"/>
      <c r="K374" s="803"/>
      <c r="L374" s="787"/>
      <c r="M374" s="803"/>
      <c r="N374" s="787"/>
      <c r="O374" s="787"/>
    </row>
    <row r="375" spans="3:15">
      <c r="C375" s="779">
        <f>IF(D363="","-",+C374+1)</f>
        <v>2020</v>
      </c>
      <c r="D375" s="727">
        <f t="shared" si="18"/>
        <v>55118251.643518507</v>
      </c>
      <c r="E375" s="780">
        <f t="shared" si="23"/>
        <v>1787618.9722222222</v>
      </c>
      <c r="F375" s="727">
        <f t="shared" si="19"/>
        <v>53330632.671296284</v>
      </c>
      <c r="G375" s="785">
        <f t="shared" si="20"/>
        <v>8015939.1958598718</v>
      </c>
      <c r="H375" s="786">
        <f t="shared" si="21"/>
        <v>8015939.1958598718</v>
      </c>
      <c r="I375" s="783">
        <f t="shared" si="22"/>
        <v>0</v>
      </c>
      <c r="J375" s="783"/>
      <c r="K375" s="803"/>
      <c r="L375" s="787"/>
      <c r="M375" s="803"/>
      <c r="N375" s="787"/>
      <c r="O375" s="787"/>
    </row>
    <row r="376" spans="3:15">
      <c r="C376" s="779">
        <f>IF(D363="","-",+C375+1)</f>
        <v>2021</v>
      </c>
      <c r="D376" s="727">
        <f t="shared" si="18"/>
        <v>53330632.671296284</v>
      </c>
      <c r="E376" s="780">
        <f t="shared" si="23"/>
        <v>1787618.9722222222</v>
      </c>
      <c r="F376" s="727">
        <f t="shared" si="19"/>
        <v>51543013.69907406</v>
      </c>
      <c r="G376" s="785">
        <f t="shared" si="20"/>
        <v>7810609.9577179709</v>
      </c>
      <c r="H376" s="786">
        <f t="shared" si="21"/>
        <v>7810609.9577179709</v>
      </c>
      <c r="I376" s="783">
        <f t="shared" si="22"/>
        <v>0</v>
      </c>
      <c r="J376" s="783"/>
      <c r="K376" s="803"/>
      <c r="L376" s="787"/>
      <c r="M376" s="803"/>
      <c r="N376" s="787"/>
      <c r="O376" s="787"/>
    </row>
    <row r="377" spans="3:15">
      <c r="C377" s="779">
        <f>IF(D363="","-",+C376+1)</f>
        <v>2022</v>
      </c>
      <c r="D377" s="727">
        <f t="shared" si="18"/>
        <v>51543013.69907406</v>
      </c>
      <c r="E377" s="780">
        <f t="shared" si="23"/>
        <v>1787618.9722222222</v>
      </c>
      <c r="F377" s="727">
        <f t="shared" si="19"/>
        <v>49755394.726851836</v>
      </c>
      <c r="G377" s="785">
        <f t="shared" si="20"/>
        <v>7605280.7195760701</v>
      </c>
      <c r="H377" s="786">
        <f t="shared" si="21"/>
        <v>7605280.7195760701</v>
      </c>
      <c r="I377" s="783">
        <f t="shared" si="22"/>
        <v>0</v>
      </c>
      <c r="J377" s="783"/>
      <c r="K377" s="803"/>
      <c r="L377" s="787"/>
      <c r="M377" s="803"/>
      <c r="N377" s="787"/>
      <c r="O377" s="787"/>
    </row>
    <row r="378" spans="3:15">
      <c r="C378" s="779">
        <f>IF(D363="","-",+C377+1)</f>
        <v>2023</v>
      </c>
      <c r="D378" s="727">
        <f t="shared" si="18"/>
        <v>49755394.726851836</v>
      </c>
      <c r="E378" s="780">
        <f t="shared" si="23"/>
        <v>1787618.9722222222</v>
      </c>
      <c r="F378" s="727">
        <f t="shared" si="19"/>
        <v>47967775.754629612</v>
      </c>
      <c r="G378" s="785">
        <f t="shared" si="20"/>
        <v>7399951.4814341692</v>
      </c>
      <c r="H378" s="786">
        <f t="shared" si="21"/>
        <v>7399951.4814341692</v>
      </c>
      <c r="I378" s="783">
        <f t="shared" si="22"/>
        <v>0</v>
      </c>
      <c r="J378" s="783"/>
      <c r="K378" s="803"/>
      <c r="L378" s="787"/>
      <c r="M378" s="803"/>
      <c r="N378" s="787"/>
      <c r="O378" s="787"/>
    </row>
    <row r="379" spans="3:15">
      <c r="C379" s="779">
        <f>IF(D363="","-",+C378+1)</f>
        <v>2024</v>
      </c>
      <c r="D379" s="727">
        <f t="shared" si="18"/>
        <v>47967775.754629612</v>
      </c>
      <c r="E379" s="780">
        <f t="shared" si="23"/>
        <v>1787618.9722222222</v>
      </c>
      <c r="F379" s="727">
        <f t="shared" si="19"/>
        <v>46180156.782407388</v>
      </c>
      <c r="G379" s="785">
        <f t="shared" si="20"/>
        <v>7194622.2432922684</v>
      </c>
      <c r="H379" s="786">
        <f t="shared" si="21"/>
        <v>7194622.2432922684</v>
      </c>
      <c r="I379" s="783">
        <f t="shared" si="22"/>
        <v>0</v>
      </c>
      <c r="J379" s="783"/>
      <c r="K379" s="803"/>
      <c r="L379" s="787"/>
      <c r="M379" s="803"/>
      <c r="N379" s="787"/>
      <c r="O379" s="787"/>
    </row>
    <row r="380" spans="3:15">
      <c r="C380" s="779">
        <f>IF(D363="","-",+C379+1)</f>
        <v>2025</v>
      </c>
      <c r="D380" s="727">
        <f t="shared" si="18"/>
        <v>46180156.782407388</v>
      </c>
      <c r="E380" s="780">
        <f t="shared" si="23"/>
        <v>1787618.9722222222</v>
      </c>
      <c r="F380" s="727">
        <f t="shared" si="19"/>
        <v>44392537.810185164</v>
      </c>
      <c r="G380" s="785">
        <f t="shared" si="20"/>
        <v>6989293.0051503675</v>
      </c>
      <c r="H380" s="786">
        <f t="shared" si="21"/>
        <v>6989293.0051503675</v>
      </c>
      <c r="I380" s="783">
        <f t="shared" si="22"/>
        <v>0</v>
      </c>
      <c r="J380" s="783"/>
      <c r="K380" s="803"/>
      <c r="L380" s="787"/>
      <c r="M380" s="803"/>
      <c r="N380" s="787"/>
      <c r="O380" s="787"/>
    </row>
    <row r="381" spans="3:15">
      <c r="C381" s="779">
        <f>IF(D363="","-",+C380+1)</f>
        <v>2026</v>
      </c>
      <c r="D381" s="727">
        <f t="shared" si="18"/>
        <v>44392537.810185164</v>
      </c>
      <c r="E381" s="780">
        <f t="shared" si="23"/>
        <v>1787618.9722222222</v>
      </c>
      <c r="F381" s="727">
        <f t="shared" si="19"/>
        <v>42604918.83796294</v>
      </c>
      <c r="G381" s="785">
        <f t="shared" si="20"/>
        <v>6783963.7670084666</v>
      </c>
      <c r="H381" s="786">
        <f t="shared" si="21"/>
        <v>6783963.7670084666</v>
      </c>
      <c r="I381" s="783">
        <f t="shared" si="22"/>
        <v>0</v>
      </c>
      <c r="J381" s="783"/>
      <c r="K381" s="803"/>
      <c r="L381" s="787"/>
      <c r="M381" s="803"/>
      <c r="N381" s="788"/>
      <c r="O381" s="787"/>
    </row>
    <row r="382" spans="3:15">
      <c r="C382" s="779">
        <f>IF(D363="","-",+C381+1)</f>
        <v>2027</v>
      </c>
      <c r="D382" s="727">
        <f t="shared" si="18"/>
        <v>42604918.83796294</v>
      </c>
      <c r="E382" s="780">
        <f t="shared" si="23"/>
        <v>1787618.9722222222</v>
      </c>
      <c r="F382" s="727">
        <f t="shared" si="19"/>
        <v>40817299.865740716</v>
      </c>
      <c r="G382" s="785">
        <f t="shared" si="20"/>
        <v>6578634.5288665658</v>
      </c>
      <c r="H382" s="786">
        <f t="shared" si="21"/>
        <v>6578634.5288665658</v>
      </c>
      <c r="I382" s="783">
        <f t="shared" si="22"/>
        <v>0</v>
      </c>
      <c r="J382" s="783"/>
      <c r="K382" s="803"/>
      <c r="L382" s="787"/>
      <c r="M382" s="803"/>
      <c r="N382" s="787"/>
      <c r="O382" s="787"/>
    </row>
    <row r="383" spans="3:15">
      <c r="C383" s="779">
        <f>IF(D363="","-",+C382+1)</f>
        <v>2028</v>
      </c>
      <c r="D383" s="727">
        <f t="shared" si="18"/>
        <v>40817299.865740716</v>
      </c>
      <c r="E383" s="780">
        <f t="shared" si="23"/>
        <v>1787618.9722222222</v>
      </c>
      <c r="F383" s="727">
        <f t="shared" si="19"/>
        <v>39029680.893518493</v>
      </c>
      <c r="G383" s="785">
        <f t="shared" si="20"/>
        <v>6373305.2907246659</v>
      </c>
      <c r="H383" s="786">
        <f t="shared" si="21"/>
        <v>6373305.2907246659</v>
      </c>
      <c r="I383" s="783">
        <f t="shared" si="22"/>
        <v>0</v>
      </c>
      <c r="J383" s="783"/>
      <c r="K383" s="803"/>
      <c r="L383" s="787"/>
      <c r="M383" s="803"/>
      <c r="N383" s="787"/>
      <c r="O383" s="787"/>
    </row>
    <row r="384" spans="3:15">
      <c r="C384" s="779">
        <f>IF(D363="","-",+C383+1)</f>
        <v>2029</v>
      </c>
      <c r="D384" s="727">
        <f t="shared" si="18"/>
        <v>39029680.893518493</v>
      </c>
      <c r="E384" s="780">
        <f t="shared" si="23"/>
        <v>1787618.9722222222</v>
      </c>
      <c r="F384" s="727">
        <f t="shared" si="19"/>
        <v>37242061.921296269</v>
      </c>
      <c r="G384" s="785">
        <f t="shared" si="20"/>
        <v>6167976.052582765</v>
      </c>
      <c r="H384" s="786">
        <f t="shared" si="21"/>
        <v>6167976.052582765</v>
      </c>
      <c r="I384" s="783">
        <f t="shared" si="22"/>
        <v>0</v>
      </c>
      <c r="J384" s="783"/>
      <c r="K384" s="803"/>
      <c r="L384" s="787"/>
      <c r="M384" s="803"/>
      <c r="N384" s="787"/>
      <c r="O384" s="787"/>
    </row>
    <row r="385" spans="3:15">
      <c r="C385" s="779">
        <f>IF(D363="","-",+C384+1)</f>
        <v>2030</v>
      </c>
      <c r="D385" s="727">
        <f t="shared" si="18"/>
        <v>37242061.921296269</v>
      </c>
      <c r="E385" s="780">
        <f t="shared" si="23"/>
        <v>1787618.9722222222</v>
      </c>
      <c r="F385" s="727">
        <f t="shared" si="19"/>
        <v>35454442.949074045</v>
      </c>
      <c r="G385" s="785">
        <f t="shared" si="20"/>
        <v>5962646.8144408641</v>
      </c>
      <c r="H385" s="786">
        <f t="shared" si="21"/>
        <v>5962646.8144408641</v>
      </c>
      <c r="I385" s="783">
        <f t="shared" si="22"/>
        <v>0</v>
      </c>
      <c r="J385" s="783"/>
      <c r="K385" s="803"/>
      <c r="L385" s="787"/>
      <c r="M385" s="803"/>
      <c r="N385" s="787"/>
      <c r="O385" s="787"/>
    </row>
    <row r="386" spans="3:15">
      <c r="C386" s="779">
        <f>IF(D363="","-",+C385+1)</f>
        <v>2031</v>
      </c>
      <c r="D386" s="727">
        <f t="shared" si="18"/>
        <v>35454442.949074045</v>
      </c>
      <c r="E386" s="780">
        <f t="shared" si="23"/>
        <v>1787618.9722222222</v>
      </c>
      <c r="F386" s="727">
        <f t="shared" si="19"/>
        <v>33666823.976851821</v>
      </c>
      <c r="G386" s="785">
        <f t="shared" si="20"/>
        <v>5757317.5762989633</v>
      </c>
      <c r="H386" s="786">
        <f t="shared" si="21"/>
        <v>5757317.5762989633</v>
      </c>
      <c r="I386" s="783">
        <f t="shared" si="22"/>
        <v>0</v>
      </c>
      <c r="J386" s="783"/>
      <c r="K386" s="803"/>
      <c r="L386" s="787"/>
      <c r="M386" s="803"/>
      <c r="N386" s="787"/>
      <c r="O386" s="787"/>
    </row>
    <row r="387" spans="3:15">
      <c r="C387" s="779">
        <f>IF(D363="","-",+C386+1)</f>
        <v>2032</v>
      </c>
      <c r="D387" s="727">
        <f t="shared" si="18"/>
        <v>33666823.976851821</v>
      </c>
      <c r="E387" s="780">
        <f t="shared" si="23"/>
        <v>1787618.9722222222</v>
      </c>
      <c r="F387" s="727">
        <f t="shared" si="19"/>
        <v>31879205.004629597</v>
      </c>
      <c r="G387" s="785">
        <f t="shared" si="20"/>
        <v>5551988.3381570624</v>
      </c>
      <c r="H387" s="786">
        <f t="shared" si="21"/>
        <v>5551988.3381570624</v>
      </c>
      <c r="I387" s="783">
        <f t="shared" si="22"/>
        <v>0</v>
      </c>
      <c r="J387" s="783"/>
      <c r="K387" s="803"/>
      <c r="L387" s="787"/>
      <c r="M387" s="803"/>
      <c r="N387" s="787"/>
      <c r="O387" s="787"/>
    </row>
    <row r="388" spans="3:15">
      <c r="C388" s="779">
        <f>IF(D363="","-",+C387+1)</f>
        <v>2033</v>
      </c>
      <c r="D388" s="727">
        <f t="shared" si="18"/>
        <v>31879205.004629597</v>
      </c>
      <c r="E388" s="780">
        <f t="shared" si="23"/>
        <v>1787618.9722222222</v>
      </c>
      <c r="F388" s="727">
        <f t="shared" si="19"/>
        <v>30091586.032407373</v>
      </c>
      <c r="G388" s="785">
        <f t="shared" si="20"/>
        <v>5346659.1000151616</v>
      </c>
      <c r="H388" s="786">
        <f t="shared" si="21"/>
        <v>5346659.1000151616</v>
      </c>
      <c r="I388" s="783">
        <f t="shared" si="22"/>
        <v>0</v>
      </c>
      <c r="J388" s="783"/>
      <c r="K388" s="803"/>
      <c r="L388" s="787"/>
      <c r="M388" s="803"/>
      <c r="N388" s="787"/>
      <c r="O388" s="787"/>
    </row>
    <row r="389" spans="3:15">
      <c r="C389" s="779">
        <f>IF(D363="","-",+C388+1)</f>
        <v>2034</v>
      </c>
      <c r="D389" s="727">
        <f t="shared" si="18"/>
        <v>30091586.032407373</v>
      </c>
      <c r="E389" s="780">
        <f t="shared" si="23"/>
        <v>1787618.9722222222</v>
      </c>
      <c r="F389" s="727">
        <f t="shared" si="19"/>
        <v>28303967.060185149</v>
      </c>
      <c r="G389" s="785">
        <f t="shared" si="20"/>
        <v>5141329.8618732607</v>
      </c>
      <c r="H389" s="786">
        <f t="shared" si="21"/>
        <v>5141329.8618732607</v>
      </c>
      <c r="I389" s="783">
        <f t="shared" si="22"/>
        <v>0</v>
      </c>
      <c r="J389" s="783"/>
      <c r="K389" s="803"/>
      <c r="L389" s="787"/>
      <c r="M389" s="803"/>
      <c r="N389" s="787"/>
      <c r="O389" s="787"/>
    </row>
    <row r="390" spans="3:15">
      <c r="C390" s="779">
        <f>IF(D363="","-",+C389+1)</f>
        <v>2035</v>
      </c>
      <c r="D390" s="727">
        <f t="shared" si="18"/>
        <v>28303967.060185149</v>
      </c>
      <c r="E390" s="780">
        <f t="shared" si="23"/>
        <v>1787618.9722222222</v>
      </c>
      <c r="F390" s="727">
        <f t="shared" si="19"/>
        <v>26516348.087962925</v>
      </c>
      <c r="G390" s="785">
        <f t="shared" si="20"/>
        <v>4936000.6237313598</v>
      </c>
      <c r="H390" s="786">
        <f t="shared" si="21"/>
        <v>4936000.6237313598</v>
      </c>
      <c r="I390" s="783">
        <f t="shared" si="22"/>
        <v>0</v>
      </c>
      <c r="J390" s="783"/>
      <c r="K390" s="803"/>
      <c r="L390" s="787"/>
      <c r="M390" s="803"/>
      <c r="N390" s="787"/>
      <c r="O390" s="787"/>
    </row>
    <row r="391" spans="3:15">
      <c r="C391" s="779">
        <f>IF(D363="","-",+C390+1)</f>
        <v>2036</v>
      </c>
      <c r="D391" s="727">
        <f t="shared" si="18"/>
        <v>26516348.087962925</v>
      </c>
      <c r="E391" s="780">
        <f t="shared" si="23"/>
        <v>1787618.9722222222</v>
      </c>
      <c r="F391" s="727">
        <f t="shared" si="19"/>
        <v>24728729.115740702</v>
      </c>
      <c r="G391" s="785">
        <f t="shared" si="20"/>
        <v>4730671.3855894599</v>
      </c>
      <c r="H391" s="786">
        <f t="shared" si="21"/>
        <v>4730671.3855894599</v>
      </c>
      <c r="I391" s="783">
        <f t="shared" si="22"/>
        <v>0</v>
      </c>
      <c r="J391" s="783"/>
      <c r="K391" s="803"/>
      <c r="L391" s="787"/>
      <c r="M391" s="803"/>
      <c r="N391" s="787"/>
      <c r="O391" s="787"/>
    </row>
    <row r="392" spans="3:15">
      <c r="C392" s="779">
        <f>IF(D363="","-",+C391+1)</f>
        <v>2037</v>
      </c>
      <c r="D392" s="727">
        <f t="shared" si="18"/>
        <v>24728729.115740702</v>
      </c>
      <c r="E392" s="780">
        <f t="shared" si="23"/>
        <v>1787618.9722222222</v>
      </c>
      <c r="F392" s="727">
        <f t="shared" si="19"/>
        <v>22941110.143518478</v>
      </c>
      <c r="G392" s="785">
        <f t="shared" si="20"/>
        <v>4525342.1474475591</v>
      </c>
      <c r="H392" s="786">
        <f t="shared" si="21"/>
        <v>4525342.1474475591</v>
      </c>
      <c r="I392" s="783">
        <f t="shared" si="22"/>
        <v>0</v>
      </c>
      <c r="J392" s="783"/>
      <c r="K392" s="803"/>
      <c r="L392" s="787"/>
      <c r="M392" s="803"/>
      <c r="N392" s="787"/>
      <c r="O392" s="787"/>
    </row>
    <row r="393" spans="3:15">
      <c r="C393" s="779">
        <f>IF(D363="","-",+C392+1)</f>
        <v>2038</v>
      </c>
      <c r="D393" s="727">
        <f t="shared" si="18"/>
        <v>22941110.143518478</v>
      </c>
      <c r="E393" s="780">
        <f t="shared" si="23"/>
        <v>1787618.9722222222</v>
      </c>
      <c r="F393" s="727">
        <f t="shared" si="19"/>
        <v>21153491.171296254</v>
      </c>
      <c r="G393" s="785">
        <f t="shared" si="20"/>
        <v>4320012.9093056582</v>
      </c>
      <c r="H393" s="786">
        <f t="shared" si="21"/>
        <v>4320012.9093056582</v>
      </c>
      <c r="I393" s="783">
        <f t="shared" si="22"/>
        <v>0</v>
      </c>
      <c r="J393" s="783"/>
      <c r="K393" s="803"/>
      <c r="L393" s="787"/>
      <c r="M393" s="803"/>
      <c r="N393" s="787"/>
      <c r="O393" s="787"/>
    </row>
    <row r="394" spans="3:15">
      <c r="C394" s="779">
        <f>IF(D363="","-",+C393+1)</f>
        <v>2039</v>
      </c>
      <c r="D394" s="727">
        <f t="shared" si="18"/>
        <v>21153491.171296254</v>
      </c>
      <c r="E394" s="780">
        <f t="shared" si="23"/>
        <v>1787618.9722222222</v>
      </c>
      <c r="F394" s="727">
        <f t="shared" si="19"/>
        <v>19365872.19907403</v>
      </c>
      <c r="G394" s="785">
        <f t="shared" si="20"/>
        <v>4114683.6711637573</v>
      </c>
      <c r="H394" s="786">
        <f t="shared" si="21"/>
        <v>4114683.6711637573</v>
      </c>
      <c r="I394" s="783">
        <f t="shared" si="22"/>
        <v>0</v>
      </c>
      <c r="J394" s="783"/>
      <c r="K394" s="803"/>
      <c r="L394" s="787"/>
      <c r="M394" s="803"/>
      <c r="N394" s="787"/>
      <c r="O394" s="787"/>
    </row>
    <row r="395" spans="3:15">
      <c r="C395" s="779">
        <f>IF(D363="","-",+C394+1)</f>
        <v>2040</v>
      </c>
      <c r="D395" s="727">
        <f t="shared" si="18"/>
        <v>19365872.19907403</v>
      </c>
      <c r="E395" s="780">
        <f t="shared" si="23"/>
        <v>1787618.9722222222</v>
      </c>
      <c r="F395" s="727">
        <f t="shared" si="19"/>
        <v>17578253.226851806</v>
      </c>
      <c r="G395" s="785">
        <f t="shared" si="20"/>
        <v>3909354.4330218565</v>
      </c>
      <c r="H395" s="786">
        <f t="shared" si="21"/>
        <v>3909354.4330218565</v>
      </c>
      <c r="I395" s="783">
        <f t="shared" si="22"/>
        <v>0</v>
      </c>
      <c r="J395" s="783"/>
      <c r="K395" s="803"/>
      <c r="L395" s="787"/>
      <c r="M395" s="803"/>
      <c r="N395" s="787"/>
      <c r="O395" s="787"/>
    </row>
    <row r="396" spans="3:15">
      <c r="C396" s="779">
        <f>IF(D363="","-",+C395+1)</f>
        <v>2041</v>
      </c>
      <c r="D396" s="727">
        <f t="shared" si="18"/>
        <v>17578253.226851806</v>
      </c>
      <c r="E396" s="780">
        <f t="shared" si="23"/>
        <v>1787618.9722222222</v>
      </c>
      <c r="F396" s="727">
        <f t="shared" si="19"/>
        <v>15790634.254629584</v>
      </c>
      <c r="G396" s="785">
        <f t="shared" si="20"/>
        <v>3704025.1948799556</v>
      </c>
      <c r="H396" s="786">
        <f t="shared" si="21"/>
        <v>3704025.1948799556</v>
      </c>
      <c r="I396" s="783">
        <f t="shared" si="22"/>
        <v>0</v>
      </c>
      <c r="J396" s="783"/>
      <c r="K396" s="803"/>
      <c r="L396" s="787"/>
      <c r="M396" s="803"/>
      <c r="N396" s="787"/>
      <c r="O396" s="787"/>
    </row>
    <row r="397" spans="3:15">
      <c r="C397" s="779">
        <f>IF(D363="","-",+C396+1)</f>
        <v>2042</v>
      </c>
      <c r="D397" s="727">
        <f t="shared" si="18"/>
        <v>15790634.254629584</v>
      </c>
      <c r="E397" s="780">
        <f t="shared" si="23"/>
        <v>1787618.9722222222</v>
      </c>
      <c r="F397" s="727">
        <f t="shared" si="19"/>
        <v>14003015.282407362</v>
      </c>
      <c r="G397" s="781">
        <f t="shared" si="20"/>
        <v>3498695.9567380552</v>
      </c>
      <c r="H397" s="786">
        <f t="shared" si="21"/>
        <v>3498695.9567380552</v>
      </c>
      <c r="I397" s="783">
        <f t="shared" si="22"/>
        <v>0</v>
      </c>
      <c r="J397" s="783"/>
      <c r="K397" s="803"/>
      <c r="L397" s="787"/>
      <c r="M397" s="803"/>
      <c r="N397" s="787"/>
      <c r="O397" s="787"/>
    </row>
    <row r="398" spans="3:15">
      <c r="C398" s="779">
        <f>IF(D363="","-",+C397+1)</f>
        <v>2043</v>
      </c>
      <c r="D398" s="727">
        <f t="shared" si="18"/>
        <v>14003015.282407362</v>
      </c>
      <c r="E398" s="780">
        <f t="shared" si="23"/>
        <v>1787618.9722222222</v>
      </c>
      <c r="F398" s="727">
        <f t="shared" si="19"/>
        <v>12215396.31018514</v>
      </c>
      <c r="G398" s="785">
        <f t="shared" si="20"/>
        <v>3293366.7185961548</v>
      </c>
      <c r="H398" s="786">
        <f t="shared" si="21"/>
        <v>3293366.7185961548</v>
      </c>
      <c r="I398" s="783">
        <f t="shared" si="22"/>
        <v>0</v>
      </c>
      <c r="J398" s="783"/>
      <c r="K398" s="803"/>
      <c r="L398" s="787"/>
      <c r="M398" s="803"/>
      <c r="N398" s="787"/>
      <c r="O398" s="787"/>
    </row>
    <row r="399" spans="3:15">
      <c r="C399" s="779">
        <f>IF(D363="","-",+C398+1)</f>
        <v>2044</v>
      </c>
      <c r="D399" s="727">
        <f t="shared" si="18"/>
        <v>12215396.31018514</v>
      </c>
      <c r="E399" s="780">
        <f t="shared" si="23"/>
        <v>1787618.9722222222</v>
      </c>
      <c r="F399" s="727">
        <f t="shared" si="19"/>
        <v>10427777.337962918</v>
      </c>
      <c r="G399" s="785">
        <f t="shared" si="20"/>
        <v>3088037.480454254</v>
      </c>
      <c r="H399" s="786">
        <f t="shared" si="21"/>
        <v>3088037.480454254</v>
      </c>
      <c r="I399" s="783">
        <f t="shared" si="22"/>
        <v>0</v>
      </c>
      <c r="J399" s="783"/>
      <c r="K399" s="803"/>
      <c r="L399" s="787"/>
      <c r="M399" s="803"/>
      <c r="N399" s="787"/>
      <c r="O399" s="787"/>
    </row>
    <row r="400" spans="3:15">
      <c r="C400" s="779">
        <f>IF(D363="","-",+C399+1)</f>
        <v>2045</v>
      </c>
      <c r="D400" s="727">
        <f t="shared" si="18"/>
        <v>10427777.337962918</v>
      </c>
      <c r="E400" s="780">
        <f t="shared" si="23"/>
        <v>1787618.9722222222</v>
      </c>
      <c r="F400" s="727">
        <f t="shared" si="19"/>
        <v>8640158.365740696</v>
      </c>
      <c r="G400" s="785">
        <f t="shared" si="20"/>
        <v>2882708.2423123531</v>
      </c>
      <c r="H400" s="786">
        <f t="shared" si="21"/>
        <v>2882708.2423123531</v>
      </c>
      <c r="I400" s="783">
        <f t="shared" si="22"/>
        <v>0</v>
      </c>
      <c r="J400" s="783"/>
      <c r="K400" s="803"/>
      <c r="L400" s="787"/>
      <c r="M400" s="803"/>
      <c r="N400" s="787"/>
      <c r="O400" s="787"/>
    </row>
    <row r="401" spans="3:15">
      <c r="C401" s="779">
        <f>IF(D363="","-",+C400+1)</f>
        <v>2046</v>
      </c>
      <c r="D401" s="727">
        <f t="shared" si="18"/>
        <v>8640158.365740696</v>
      </c>
      <c r="E401" s="780">
        <f t="shared" si="23"/>
        <v>1787618.9722222222</v>
      </c>
      <c r="F401" s="727">
        <f t="shared" si="19"/>
        <v>6852539.393518474</v>
      </c>
      <c r="G401" s="785">
        <f t="shared" si="20"/>
        <v>2677379.0041704532</v>
      </c>
      <c r="H401" s="786">
        <f t="shared" si="21"/>
        <v>2677379.0041704532</v>
      </c>
      <c r="I401" s="783">
        <f t="shared" si="22"/>
        <v>0</v>
      </c>
      <c r="J401" s="783"/>
      <c r="K401" s="803"/>
      <c r="L401" s="787"/>
      <c r="M401" s="803"/>
      <c r="N401" s="787"/>
      <c r="O401" s="787"/>
    </row>
    <row r="402" spans="3:15">
      <c r="C402" s="779">
        <f>IF(D363="","-",+C401+1)</f>
        <v>2047</v>
      </c>
      <c r="D402" s="727">
        <f t="shared" si="18"/>
        <v>6852539.393518474</v>
      </c>
      <c r="E402" s="780">
        <f t="shared" si="23"/>
        <v>1787618.9722222222</v>
      </c>
      <c r="F402" s="727">
        <f t="shared" si="19"/>
        <v>5064920.4212962519</v>
      </c>
      <c r="G402" s="785">
        <f t="shared" si="20"/>
        <v>2472049.7660285523</v>
      </c>
      <c r="H402" s="786">
        <f t="shared" si="21"/>
        <v>2472049.7660285523</v>
      </c>
      <c r="I402" s="783">
        <f t="shared" si="22"/>
        <v>0</v>
      </c>
      <c r="J402" s="783"/>
      <c r="K402" s="803"/>
      <c r="L402" s="787"/>
      <c r="M402" s="803"/>
      <c r="N402" s="787"/>
      <c r="O402" s="787"/>
    </row>
    <row r="403" spans="3:15">
      <c r="C403" s="779">
        <f>IF(D363="","-",+C402+1)</f>
        <v>2048</v>
      </c>
      <c r="D403" s="727">
        <f t="shared" si="18"/>
        <v>5064920.4212962519</v>
      </c>
      <c r="E403" s="780">
        <f t="shared" si="23"/>
        <v>1787618.9722222222</v>
      </c>
      <c r="F403" s="727">
        <f t="shared" si="19"/>
        <v>3277301.4490740299</v>
      </c>
      <c r="G403" s="785">
        <f t="shared" si="20"/>
        <v>2266720.5278866519</v>
      </c>
      <c r="H403" s="786">
        <f t="shared" si="21"/>
        <v>2266720.5278866519</v>
      </c>
      <c r="I403" s="783">
        <f t="shared" si="22"/>
        <v>0</v>
      </c>
      <c r="J403" s="783"/>
      <c r="K403" s="803"/>
      <c r="L403" s="787"/>
      <c r="M403" s="803"/>
      <c r="N403" s="787"/>
      <c r="O403" s="787"/>
    </row>
    <row r="404" spans="3:15">
      <c r="C404" s="779">
        <f>IF(D363="","-",+C403+1)</f>
        <v>2049</v>
      </c>
      <c r="D404" s="727">
        <f t="shared" si="18"/>
        <v>3277301.4490740299</v>
      </c>
      <c r="E404" s="780">
        <f t="shared" si="23"/>
        <v>1787618.9722222222</v>
      </c>
      <c r="F404" s="727">
        <f t="shared" si="19"/>
        <v>1489682.4768518077</v>
      </c>
      <c r="G404" s="785">
        <f t="shared" si="20"/>
        <v>2061391.2897447513</v>
      </c>
      <c r="H404" s="786">
        <f t="shared" si="21"/>
        <v>2061391.2897447513</v>
      </c>
      <c r="I404" s="783">
        <f t="shared" si="22"/>
        <v>0</v>
      </c>
      <c r="J404" s="783"/>
      <c r="K404" s="803"/>
      <c r="L404" s="787"/>
      <c r="M404" s="803"/>
      <c r="N404" s="787"/>
      <c r="O404" s="787"/>
    </row>
    <row r="405" spans="3:15">
      <c r="C405" s="779">
        <f>IF(D363="","-",+C404+1)</f>
        <v>2050</v>
      </c>
      <c r="D405" s="727">
        <f t="shared" si="18"/>
        <v>1489682.4768518077</v>
      </c>
      <c r="E405" s="780">
        <f t="shared" si="23"/>
        <v>1489682.4768518077</v>
      </c>
      <c r="F405" s="727">
        <f t="shared" si="19"/>
        <v>0</v>
      </c>
      <c r="G405" s="785">
        <f t="shared" si="20"/>
        <v>1575236.326077597</v>
      </c>
      <c r="H405" s="786">
        <f t="shared" si="21"/>
        <v>1575236.326077597</v>
      </c>
      <c r="I405" s="783">
        <f t="shared" si="22"/>
        <v>0</v>
      </c>
      <c r="J405" s="783"/>
      <c r="K405" s="803"/>
      <c r="L405" s="787"/>
      <c r="M405" s="803"/>
      <c r="N405" s="787"/>
      <c r="O405" s="787"/>
    </row>
    <row r="406" spans="3:15">
      <c r="C406" s="779">
        <f>IF(D363="","-",+C405+1)</f>
        <v>2051</v>
      </c>
      <c r="D406" s="727">
        <f t="shared" si="18"/>
        <v>0</v>
      </c>
      <c r="E406" s="780">
        <f t="shared" si="23"/>
        <v>0</v>
      </c>
      <c r="F406" s="727">
        <f t="shared" si="19"/>
        <v>0</v>
      </c>
      <c r="G406" s="785">
        <f t="shared" si="20"/>
        <v>0</v>
      </c>
      <c r="H406" s="786">
        <f t="shared" si="21"/>
        <v>0</v>
      </c>
      <c r="I406" s="783">
        <f t="shared" si="22"/>
        <v>0</v>
      </c>
      <c r="J406" s="783"/>
      <c r="K406" s="803"/>
      <c r="L406" s="787"/>
      <c r="M406" s="803"/>
      <c r="N406" s="787"/>
      <c r="O406" s="787"/>
    </row>
    <row r="407" spans="3:15">
      <c r="C407" s="779">
        <f>IF(D363="","-",+C406+1)</f>
        <v>2052</v>
      </c>
      <c r="D407" s="727">
        <f t="shared" si="18"/>
        <v>0</v>
      </c>
      <c r="E407" s="780">
        <f t="shared" si="23"/>
        <v>0</v>
      </c>
      <c r="F407" s="727">
        <f t="shared" si="19"/>
        <v>0</v>
      </c>
      <c r="G407" s="785">
        <f t="shared" si="20"/>
        <v>0</v>
      </c>
      <c r="H407" s="786">
        <f t="shared" si="21"/>
        <v>0</v>
      </c>
      <c r="I407" s="783">
        <f t="shared" si="22"/>
        <v>0</v>
      </c>
      <c r="J407" s="783"/>
      <c r="K407" s="803"/>
      <c r="L407" s="787"/>
      <c r="M407" s="803"/>
      <c r="N407" s="787"/>
      <c r="O407" s="787"/>
    </row>
    <row r="408" spans="3:15">
      <c r="C408" s="779">
        <f>IF(D363="","-",+C407+1)</f>
        <v>2053</v>
      </c>
      <c r="D408" s="727">
        <f t="shared" si="18"/>
        <v>0</v>
      </c>
      <c r="E408" s="780">
        <f t="shared" si="23"/>
        <v>0</v>
      </c>
      <c r="F408" s="727">
        <f t="shared" si="19"/>
        <v>0</v>
      </c>
      <c r="G408" s="785">
        <f t="shared" si="20"/>
        <v>0</v>
      </c>
      <c r="H408" s="786">
        <f t="shared" si="21"/>
        <v>0</v>
      </c>
      <c r="I408" s="783">
        <f t="shared" si="22"/>
        <v>0</v>
      </c>
      <c r="J408" s="783"/>
      <c r="K408" s="803"/>
      <c r="L408" s="787"/>
      <c r="M408" s="803"/>
      <c r="N408" s="787"/>
      <c r="O408" s="787"/>
    </row>
    <row r="409" spans="3:15">
      <c r="C409" s="779">
        <f>IF(D363="","-",+C408+1)</f>
        <v>2054</v>
      </c>
      <c r="D409" s="727">
        <f t="shared" si="18"/>
        <v>0</v>
      </c>
      <c r="E409" s="780">
        <f t="shared" si="23"/>
        <v>0</v>
      </c>
      <c r="F409" s="727">
        <f t="shared" si="19"/>
        <v>0</v>
      </c>
      <c r="G409" s="785">
        <f t="shared" si="20"/>
        <v>0</v>
      </c>
      <c r="H409" s="786">
        <f t="shared" si="21"/>
        <v>0</v>
      </c>
      <c r="I409" s="783">
        <f t="shared" si="22"/>
        <v>0</v>
      </c>
      <c r="J409" s="783"/>
      <c r="K409" s="803"/>
      <c r="L409" s="787"/>
      <c r="M409" s="803"/>
      <c r="N409" s="787"/>
      <c r="O409" s="787"/>
    </row>
    <row r="410" spans="3:15">
      <c r="C410" s="779">
        <f>IF(D363="","-",+C409+1)</f>
        <v>2055</v>
      </c>
      <c r="D410" s="727">
        <f t="shared" si="18"/>
        <v>0</v>
      </c>
      <c r="E410" s="780">
        <f t="shared" si="23"/>
        <v>0</v>
      </c>
      <c r="F410" s="727">
        <f t="shared" si="19"/>
        <v>0</v>
      </c>
      <c r="G410" s="785">
        <f t="shared" si="20"/>
        <v>0</v>
      </c>
      <c r="H410" s="786">
        <f t="shared" si="21"/>
        <v>0</v>
      </c>
      <c r="I410" s="783">
        <f t="shared" si="22"/>
        <v>0</v>
      </c>
      <c r="J410" s="783"/>
      <c r="K410" s="803"/>
      <c r="L410" s="787"/>
      <c r="M410" s="803"/>
      <c r="N410" s="787"/>
      <c r="O410" s="787"/>
    </row>
    <row r="411" spans="3:15">
      <c r="C411" s="779">
        <f>IF(D363="","-",+C410+1)</f>
        <v>2056</v>
      </c>
      <c r="D411" s="727">
        <f t="shared" si="18"/>
        <v>0</v>
      </c>
      <c r="E411" s="780">
        <f t="shared" si="23"/>
        <v>0</v>
      </c>
      <c r="F411" s="727">
        <f t="shared" si="19"/>
        <v>0</v>
      </c>
      <c r="G411" s="785">
        <f t="shared" si="20"/>
        <v>0</v>
      </c>
      <c r="H411" s="786">
        <f t="shared" si="21"/>
        <v>0</v>
      </c>
      <c r="I411" s="783">
        <f t="shared" si="22"/>
        <v>0</v>
      </c>
      <c r="J411" s="783"/>
      <c r="K411" s="803"/>
      <c r="L411" s="787"/>
      <c r="M411" s="803"/>
      <c r="N411" s="787"/>
      <c r="O411" s="787"/>
    </row>
    <row r="412" spans="3:15">
      <c r="C412" s="779">
        <f>IF(D363="","-",+C411+1)</f>
        <v>2057</v>
      </c>
      <c r="D412" s="727">
        <f t="shared" si="18"/>
        <v>0</v>
      </c>
      <c r="E412" s="780">
        <f t="shared" si="23"/>
        <v>0</v>
      </c>
      <c r="F412" s="727">
        <f t="shared" si="19"/>
        <v>0</v>
      </c>
      <c r="G412" s="785">
        <f t="shared" si="20"/>
        <v>0</v>
      </c>
      <c r="H412" s="786">
        <f t="shared" si="21"/>
        <v>0</v>
      </c>
      <c r="I412" s="783">
        <f t="shared" si="22"/>
        <v>0</v>
      </c>
      <c r="J412" s="783"/>
      <c r="K412" s="803"/>
      <c r="L412" s="787"/>
      <c r="M412" s="803"/>
      <c r="N412" s="787"/>
      <c r="O412" s="787"/>
    </row>
    <row r="413" spans="3:15">
      <c r="C413" s="779">
        <f>IF(D363="","-",+C412+1)</f>
        <v>2058</v>
      </c>
      <c r="D413" s="727">
        <f t="shared" si="18"/>
        <v>0</v>
      </c>
      <c r="E413" s="780">
        <f t="shared" si="23"/>
        <v>0</v>
      </c>
      <c r="F413" s="727">
        <f t="shared" si="19"/>
        <v>0</v>
      </c>
      <c r="G413" s="785">
        <f t="shared" si="20"/>
        <v>0</v>
      </c>
      <c r="H413" s="786">
        <f t="shared" si="21"/>
        <v>0</v>
      </c>
      <c r="I413" s="783">
        <f t="shared" si="22"/>
        <v>0</v>
      </c>
      <c r="J413" s="783"/>
      <c r="K413" s="803"/>
      <c r="L413" s="787"/>
      <c r="M413" s="803"/>
      <c r="N413" s="787"/>
      <c r="O413" s="787"/>
    </row>
    <row r="414" spans="3:15">
      <c r="C414" s="779">
        <f>IF(D363="","-",+C413+1)</f>
        <v>2059</v>
      </c>
      <c r="D414" s="727">
        <f t="shared" si="18"/>
        <v>0</v>
      </c>
      <c r="E414" s="780">
        <f t="shared" si="23"/>
        <v>0</v>
      </c>
      <c r="F414" s="727">
        <f t="shared" si="19"/>
        <v>0</v>
      </c>
      <c r="G414" s="785">
        <f t="shared" si="20"/>
        <v>0</v>
      </c>
      <c r="H414" s="786">
        <f t="shared" si="21"/>
        <v>0</v>
      </c>
      <c r="I414" s="783">
        <f t="shared" si="22"/>
        <v>0</v>
      </c>
      <c r="J414" s="783"/>
      <c r="K414" s="803"/>
      <c r="L414" s="787"/>
      <c r="M414" s="803"/>
      <c r="N414" s="787"/>
      <c r="O414" s="787"/>
    </row>
    <row r="415" spans="3:15">
      <c r="C415" s="779">
        <f>IF(D363="","-",+C414+1)</f>
        <v>2060</v>
      </c>
      <c r="D415" s="727">
        <f t="shared" si="18"/>
        <v>0</v>
      </c>
      <c r="E415" s="780">
        <f t="shared" si="23"/>
        <v>0</v>
      </c>
      <c r="F415" s="727">
        <f t="shared" si="19"/>
        <v>0</v>
      </c>
      <c r="G415" s="785">
        <f t="shared" si="20"/>
        <v>0</v>
      </c>
      <c r="H415" s="786">
        <f t="shared" si="21"/>
        <v>0</v>
      </c>
      <c r="I415" s="783">
        <f t="shared" si="22"/>
        <v>0</v>
      </c>
      <c r="J415" s="783"/>
      <c r="K415" s="803"/>
      <c r="L415" s="787"/>
      <c r="M415" s="803"/>
      <c r="N415" s="787"/>
      <c r="O415" s="787"/>
    </row>
    <row r="416" spans="3:15">
      <c r="C416" s="779">
        <f>IF(D363="","-",+C415+1)</f>
        <v>2061</v>
      </c>
      <c r="D416" s="727">
        <f t="shared" si="18"/>
        <v>0</v>
      </c>
      <c r="E416" s="780">
        <f t="shared" si="23"/>
        <v>0</v>
      </c>
      <c r="F416" s="727">
        <f t="shared" si="19"/>
        <v>0</v>
      </c>
      <c r="G416" s="785">
        <f t="shared" si="20"/>
        <v>0</v>
      </c>
      <c r="H416" s="786">
        <f t="shared" si="21"/>
        <v>0</v>
      </c>
      <c r="I416" s="783">
        <f t="shared" si="22"/>
        <v>0</v>
      </c>
      <c r="J416" s="783"/>
      <c r="K416" s="803"/>
      <c r="L416" s="787"/>
      <c r="M416" s="803"/>
      <c r="N416" s="787"/>
      <c r="O416" s="787"/>
    </row>
    <row r="417" spans="3:15">
      <c r="C417" s="779">
        <f>IF(D363="","-",+C416+1)</f>
        <v>2062</v>
      </c>
      <c r="D417" s="727">
        <f t="shared" si="18"/>
        <v>0</v>
      </c>
      <c r="E417" s="780">
        <f t="shared" si="23"/>
        <v>0</v>
      </c>
      <c r="F417" s="727">
        <f t="shared" si="19"/>
        <v>0</v>
      </c>
      <c r="G417" s="785">
        <f t="shared" si="20"/>
        <v>0</v>
      </c>
      <c r="H417" s="786">
        <f t="shared" si="21"/>
        <v>0</v>
      </c>
      <c r="I417" s="783">
        <f t="shared" si="22"/>
        <v>0</v>
      </c>
      <c r="J417" s="783"/>
      <c r="K417" s="803"/>
      <c r="L417" s="787"/>
      <c r="M417" s="803"/>
      <c r="N417" s="787"/>
      <c r="O417" s="787"/>
    </row>
    <row r="418" spans="3:15">
      <c r="C418" s="779">
        <f>IF(D363="","-",+C417+1)</f>
        <v>2063</v>
      </c>
      <c r="D418" s="727">
        <f t="shared" si="18"/>
        <v>0</v>
      </c>
      <c r="E418" s="780">
        <f t="shared" si="23"/>
        <v>0</v>
      </c>
      <c r="F418" s="727">
        <f t="shared" si="19"/>
        <v>0</v>
      </c>
      <c r="G418" s="785">
        <f t="shared" si="20"/>
        <v>0</v>
      </c>
      <c r="H418" s="786">
        <f t="shared" si="21"/>
        <v>0</v>
      </c>
      <c r="I418" s="783">
        <f t="shared" si="22"/>
        <v>0</v>
      </c>
      <c r="J418" s="783"/>
      <c r="K418" s="803"/>
      <c r="L418" s="787"/>
      <c r="M418" s="803"/>
      <c r="N418" s="787"/>
      <c r="O418" s="787"/>
    </row>
    <row r="419" spans="3:15">
      <c r="C419" s="779">
        <f>IF(D363="","-",+C418+1)</f>
        <v>2064</v>
      </c>
      <c r="D419" s="727">
        <f t="shared" si="18"/>
        <v>0</v>
      </c>
      <c r="E419" s="780">
        <f t="shared" si="23"/>
        <v>0</v>
      </c>
      <c r="F419" s="727">
        <f t="shared" si="19"/>
        <v>0</v>
      </c>
      <c r="G419" s="785">
        <f t="shared" si="20"/>
        <v>0</v>
      </c>
      <c r="H419" s="786">
        <f t="shared" si="21"/>
        <v>0</v>
      </c>
      <c r="I419" s="783">
        <f t="shared" si="22"/>
        <v>0</v>
      </c>
      <c r="J419" s="783"/>
      <c r="K419" s="803"/>
      <c r="L419" s="787"/>
      <c r="M419" s="803"/>
      <c r="N419" s="787"/>
      <c r="O419" s="787"/>
    </row>
    <row r="420" spans="3:15">
      <c r="C420" s="779">
        <f>IF(D363="","-",+C419+1)</f>
        <v>2065</v>
      </c>
      <c r="D420" s="727">
        <f t="shared" si="18"/>
        <v>0</v>
      </c>
      <c r="E420" s="780">
        <f t="shared" si="23"/>
        <v>0</v>
      </c>
      <c r="F420" s="727">
        <f t="shared" si="19"/>
        <v>0</v>
      </c>
      <c r="G420" s="785">
        <f t="shared" si="20"/>
        <v>0</v>
      </c>
      <c r="H420" s="786">
        <f t="shared" si="21"/>
        <v>0</v>
      </c>
      <c r="I420" s="783">
        <f t="shared" si="22"/>
        <v>0</v>
      </c>
      <c r="J420" s="783"/>
      <c r="K420" s="803"/>
      <c r="L420" s="787"/>
      <c r="M420" s="803"/>
      <c r="N420" s="787"/>
      <c r="O420" s="787"/>
    </row>
    <row r="421" spans="3:15">
      <c r="C421" s="779">
        <f>IF(D363="","-",+C420+1)</f>
        <v>2066</v>
      </c>
      <c r="D421" s="727">
        <f t="shared" si="18"/>
        <v>0</v>
      </c>
      <c r="E421" s="780">
        <f t="shared" si="23"/>
        <v>0</v>
      </c>
      <c r="F421" s="727">
        <f t="shared" si="19"/>
        <v>0</v>
      </c>
      <c r="G421" s="785">
        <f t="shared" si="20"/>
        <v>0</v>
      </c>
      <c r="H421" s="786">
        <f t="shared" si="21"/>
        <v>0</v>
      </c>
      <c r="I421" s="783">
        <f t="shared" si="22"/>
        <v>0</v>
      </c>
      <c r="J421" s="783"/>
      <c r="K421" s="803"/>
      <c r="L421" s="787"/>
      <c r="M421" s="803"/>
      <c r="N421" s="787"/>
      <c r="O421" s="787"/>
    </row>
    <row r="422" spans="3:15">
      <c r="C422" s="779">
        <f>IF(D363="","-",+C421+1)</f>
        <v>2067</v>
      </c>
      <c r="D422" s="727">
        <f t="shared" si="18"/>
        <v>0</v>
      </c>
      <c r="E422" s="780">
        <f t="shared" si="23"/>
        <v>0</v>
      </c>
      <c r="F422" s="727">
        <f t="shared" si="19"/>
        <v>0</v>
      </c>
      <c r="G422" s="785">
        <f t="shared" si="20"/>
        <v>0</v>
      </c>
      <c r="H422" s="786">
        <f t="shared" si="21"/>
        <v>0</v>
      </c>
      <c r="I422" s="783">
        <f t="shared" si="22"/>
        <v>0</v>
      </c>
      <c r="J422" s="783"/>
      <c r="K422" s="803"/>
      <c r="L422" s="787"/>
      <c r="M422" s="803"/>
      <c r="N422" s="787"/>
      <c r="O422" s="787"/>
    </row>
    <row r="423" spans="3:15">
      <c r="C423" s="779">
        <f>IF(D363="","-",+C422+1)</f>
        <v>2068</v>
      </c>
      <c r="D423" s="727">
        <f t="shared" si="18"/>
        <v>0</v>
      </c>
      <c r="E423" s="780">
        <f t="shared" si="23"/>
        <v>0</v>
      </c>
      <c r="F423" s="727">
        <f t="shared" si="19"/>
        <v>0</v>
      </c>
      <c r="G423" s="785">
        <f t="shared" si="20"/>
        <v>0</v>
      </c>
      <c r="H423" s="786">
        <f t="shared" si="21"/>
        <v>0</v>
      </c>
      <c r="I423" s="783">
        <f t="shared" si="22"/>
        <v>0</v>
      </c>
      <c r="J423" s="783"/>
      <c r="K423" s="803"/>
      <c r="L423" s="787"/>
      <c r="M423" s="803"/>
      <c r="N423" s="787"/>
      <c r="O423" s="787"/>
    </row>
    <row r="424" spans="3:15">
      <c r="C424" s="779">
        <f>IF(D363="","-",+C423+1)</f>
        <v>2069</v>
      </c>
      <c r="D424" s="727">
        <f t="shared" si="18"/>
        <v>0</v>
      </c>
      <c r="E424" s="780">
        <f t="shared" si="23"/>
        <v>0</v>
      </c>
      <c r="F424" s="727">
        <f t="shared" si="19"/>
        <v>0</v>
      </c>
      <c r="G424" s="785">
        <f t="shared" si="20"/>
        <v>0</v>
      </c>
      <c r="H424" s="786">
        <f t="shared" si="21"/>
        <v>0</v>
      </c>
      <c r="I424" s="783">
        <f t="shared" si="22"/>
        <v>0</v>
      </c>
      <c r="J424" s="783"/>
      <c r="K424" s="803"/>
      <c r="L424" s="787"/>
      <c r="M424" s="803"/>
      <c r="N424" s="787"/>
      <c r="O424" s="787"/>
    </row>
    <row r="425" spans="3:15">
      <c r="C425" s="779">
        <f>IF(D363="","-",+C424+1)</f>
        <v>2070</v>
      </c>
      <c r="D425" s="727">
        <f t="shared" si="18"/>
        <v>0</v>
      </c>
      <c r="E425" s="780">
        <f t="shared" si="23"/>
        <v>0</v>
      </c>
      <c r="F425" s="727">
        <f t="shared" si="19"/>
        <v>0</v>
      </c>
      <c r="G425" s="785">
        <f t="shared" si="20"/>
        <v>0</v>
      </c>
      <c r="H425" s="786">
        <f t="shared" si="21"/>
        <v>0</v>
      </c>
      <c r="I425" s="783">
        <f t="shared" si="22"/>
        <v>0</v>
      </c>
      <c r="J425" s="783"/>
      <c r="K425" s="803"/>
      <c r="L425" s="787"/>
      <c r="M425" s="803"/>
      <c r="N425" s="787"/>
      <c r="O425" s="787"/>
    </row>
    <row r="426" spans="3:15">
      <c r="C426" s="779">
        <f>IF(D363="","-",+C425+1)</f>
        <v>2071</v>
      </c>
      <c r="D426" s="727">
        <f t="shared" si="18"/>
        <v>0</v>
      </c>
      <c r="E426" s="780">
        <f t="shared" si="23"/>
        <v>0</v>
      </c>
      <c r="F426" s="727">
        <f t="shared" si="19"/>
        <v>0</v>
      </c>
      <c r="G426" s="785">
        <f t="shared" si="20"/>
        <v>0</v>
      </c>
      <c r="H426" s="786">
        <f t="shared" si="21"/>
        <v>0</v>
      </c>
      <c r="I426" s="783">
        <f t="shared" si="22"/>
        <v>0</v>
      </c>
      <c r="J426" s="783"/>
      <c r="K426" s="803"/>
      <c r="L426" s="787"/>
      <c r="M426" s="803"/>
      <c r="N426" s="787"/>
      <c r="O426" s="787"/>
    </row>
    <row r="427" spans="3:15">
      <c r="C427" s="779">
        <f>IF(D363="","-",+C426+1)</f>
        <v>2072</v>
      </c>
      <c r="D427" s="727">
        <f t="shared" si="18"/>
        <v>0</v>
      </c>
      <c r="E427" s="780">
        <f t="shared" si="23"/>
        <v>0</v>
      </c>
      <c r="F427" s="727">
        <f t="shared" si="19"/>
        <v>0</v>
      </c>
      <c r="G427" s="785">
        <f t="shared" si="20"/>
        <v>0</v>
      </c>
      <c r="H427" s="786">
        <f t="shared" si="21"/>
        <v>0</v>
      </c>
      <c r="I427" s="783">
        <f t="shared" si="22"/>
        <v>0</v>
      </c>
      <c r="J427" s="783"/>
      <c r="K427" s="803"/>
      <c r="L427" s="787"/>
      <c r="M427" s="803"/>
      <c r="N427" s="787"/>
      <c r="O427" s="787"/>
    </row>
    <row r="428" spans="3:15" ht="13.5" thickBot="1">
      <c r="C428" s="789">
        <f>IF(D363="","-",+C427+1)</f>
        <v>2073</v>
      </c>
      <c r="D428" s="790">
        <f t="shared" si="18"/>
        <v>0</v>
      </c>
      <c r="E428" s="791">
        <f t="shared" si="23"/>
        <v>0</v>
      </c>
      <c r="F428" s="790">
        <f t="shared" si="19"/>
        <v>0</v>
      </c>
      <c r="G428" s="792">
        <f t="shared" si="20"/>
        <v>0</v>
      </c>
      <c r="H428" s="792">
        <f t="shared" si="21"/>
        <v>0</v>
      </c>
      <c r="I428" s="793">
        <f t="shared" si="22"/>
        <v>0</v>
      </c>
      <c r="J428" s="783"/>
      <c r="K428" s="804"/>
      <c r="L428" s="794"/>
      <c r="M428" s="804"/>
      <c r="N428" s="794"/>
      <c r="O428" s="794"/>
    </row>
    <row r="429" spans="3:15">
      <c r="C429" s="727" t="s">
        <v>93</v>
      </c>
      <c r="D429" s="721"/>
      <c r="E429" s="721">
        <f>SUM(E369:E428)</f>
        <v>64354282.999999993</v>
      </c>
      <c r="F429" s="721"/>
      <c r="G429" s="721">
        <f>SUM(G369:G428)</f>
        <v>203567506.46020848</v>
      </c>
      <c r="H429" s="721">
        <f>SUM(H369:H428)</f>
        <v>203567506.46020848</v>
      </c>
      <c r="I429" s="721">
        <f>SUM(I369:I428)</f>
        <v>0</v>
      </c>
      <c r="J429" s="721"/>
      <c r="K429" s="721"/>
      <c r="L429" s="721"/>
      <c r="M429" s="721"/>
      <c r="N429" s="721"/>
      <c r="O429" s="308"/>
    </row>
    <row r="430" spans="3:15">
      <c r="D430" s="529"/>
      <c r="E430" s="308"/>
      <c r="F430" s="308"/>
      <c r="G430" s="308"/>
      <c r="H430" s="699"/>
      <c r="I430" s="699"/>
      <c r="J430" s="721"/>
      <c r="K430" s="699"/>
      <c r="L430" s="699"/>
      <c r="M430" s="699"/>
      <c r="N430" s="699"/>
      <c r="O430" s="308"/>
    </row>
    <row r="431" spans="3:15">
      <c r="C431" s="308" t="s">
        <v>15</v>
      </c>
      <c r="D431" s="529"/>
      <c r="E431" s="308"/>
      <c r="F431" s="308"/>
      <c r="G431" s="308"/>
      <c r="H431" s="699"/>
      <c r="I431" s="699"/>
      <c r="J431" s="721"/>
      <c r="K431" s="699"/>
      <c r="L431" s="699"/>
      <c r="M431" s="699"/>
      <c r="N431" s="699"/>
      <c r="O431" s="308"/>
    </row>
    <row r="432" spans="3:15">
      <c r="C432" s="308"/>
      <c r="D432" s="529"/>
      <c r="E432" s="308"/>
      <c r="F432" s="308"/>
      <c r="G432" s="308"/>
      <c r="H432" s="699"/>
      <c r="I432" s="699"/>
      <c r="J432" s="721"/>
      <c r="K432" s="699"/>
      <c r="L432" s="699"/>
      <c r="M432" s="699"/>
      <c r="N432" s="699"/>
      <c r="O432" s="308"/>
    </row>
    <row r="433" spans="1:16">
      <c r="C433" s="740" t="s">
        <v>16</v>
      </c>
      <c r="D433" s="727"/>
      <c r="E433" s="727"/>
      <c r="F433" s="727"/>
      <c r="G433" s="721"/>
      <c r="H433" s="721"/>
      <c r="I433" s="795"/>
      <c r="J433" s="795"/>
      <c r="K433" s="795"/>
      <c r="L433" s="795"/>
      <c r="M433" s="795"/>
      <c r="N433" s="795"/>
      <c r="O433" s="308"/>
    </row>
    <row r="434" spans="1:16">
      <c r="C434" s="726" t="s">
        <v>273</v>
      </c>
      <c r="D434" s="727"/>
      <c r="E434" s="727"/>
      <c r="F434" s="727"/>
      <c r="G434" s="721"/>
      <c r="H434" s="721"/>
      <c r="I434" s="795"/>
      <c r="J434" s="795"/>
      <c r="K434" s="795"/>
      <c r="L434" s="795"/>
      <c r="M434" s="795"/>
      <c r="N434" s="795"/>
      <c r="O434" s="308"/>
    </row>
    <row r="435" spans="1:16">
      <c r="C435" s="726" t="s">
        <v>94</v>
      </c>
      <c r="D435" s="727"/>
      <c r="E435" s="727"/>
      <c r="F435" s="727"/>
      <c r="G435" s="721"/>
      <c r="H435" s="721"/>
      <c r="I435" s="795"/>
      <c r="J435" s="795"/>
      <c r="K435" s="795"/>
      <c r="L435" s="795"/>
      <c r="M435" s="795"/>
      <c r="N435" s="795"/>
      <c r="O435" s="308"/>
    </row>
    <row r="436" spans="1:16">
      <c r="C436" s="726"/>
      <c r="D436" s="727"/>
      <c r="E436" s="727"/>
      <c r="F436" s="727"/>
      <c r="G436" s="721"/>
      <c r="H436" s="721"/>
      <c r="I436" s="795"/>
      <c r="J436" s="795"/>
      <c r="K436" s="795"/>
      <c r="L436" s="795"/>
      <c r="M436" s="795"/>
      <c r="N436" s="795"/>
      <c r="O436" s="308"/>
    </row>
    <row r="437" spans="1:16">
      <c r="C437" s="1552" t="s">
        <v>8</v>
      </c>
      <c r="D437" s="1552"/>
      <c r="E437" s="1552"/>
      <c r="F437" s="1552"/>
      <c r="G437" s="1552"/>
      <c r="H437" s="1552"/>
      <c r="I437" s="1552"/>
      <c r="J437" s="1552"/>
      <c r="K437" s="1552"/>
      <c r="L437" s="1552"/>
      <c r="M437" s="1552"/>
      <c r="N437" s="1552"/>
      <c r="O437" s="1552"/>
    </row>
    <row r="438" spans="1:16">
      <c r="C438" s="1552"/>
      <c r="D438" s="1552"/>
      <c r="E438" s="1552"/>
      <c r="F438" s="1552"/>
      <c r="G438" s="1552"/>
      <c r="H438" s="1552"/>
      <c r="I438" s="1552"/>
      <c r="J438" s="1552"/>
      <c r="K438" s="1552"/>
      <c r="L438" s="1552"/>
      <c r="M438" s="1552"/>
      <c r="N438" s="1552"/>
      <c r="O438" s="1552"/>
    </row>
    <row r="439" spans="1:16">
      <c r="B439" s="341"/>
      <c r="C439" s="308"/>
      <c r="D439" s="529"/>
      <c r="E439" s="308"/>
      <c r="F439" s="308"/>
      <c r="G439" s="308"/>
      <c r="H439" s="699"/>
      <c r="I439" s="308"/>
      <c r="J439" s="418"/>
      <c r="K439" s="308"/>
      <c r="L439" s="308"/>
      <c r="M439" s="308"/>
      <c r="N439" s="308"/>
      <c r="O439" s="308"/>
    </row>
    <row r="440" spans="1:16" ht="20.25">
      <c r="A440" s="728" t="str">
        <f>""&amp;A364&amp;" Worksheet J -  ATRR PROJECTED Calculation for PJM Projects Charged to Benefiting Zones"</f>
        <v xml:space="preserve"> Worksheet J -  ATRR PROJECTED Calculation for PJM Projects Charged to Benefiting Zones</v>
      </c>
      <c r="B440" s="341"/>
      <c r="C440" s="716"/>
      <c r="D440" s="529"/>
      <c r="E440" s="308"/>
      <c r="F440" s="698"/>
      <c r="G440" s="308"/>
      <c r="H440" s="699"/>
      <c r="K440" s="555"/>
      <c r="L440" s="555"/>
      <c r="M440" s="555"/>
      <c r="N440" s="644" t="str">
        <f>"Page "&amp;SUM(P$8:P440)&amp;" of "</f>
        <v xml:space="preserve">Page 6 of </v>
      </c>
      <c r="O440" s="645">
        <f>COUNT(P$8:P$56656)</f>
        <v>11</v>
      </c>
      <c r="P440" s="172">
        <v>1</v>
      </c>
    </row>
    <row r="441" spans="1:16" ht="20.25">
      <c r="A441" s="728"/>
      <c r="B441" s="341"/>
      <c r="C441" s="716"/>
      <c r="D441" s="529"/>
      <c r="E441" s="308"/>
      <c r="F441" s="698"/>
      <c r="G441" s="308"/>
      <c r="H441" s="699"/>
      <c r="K441" s="555"/>
      <c r="L441" s="555"/>
      <c r="M441" s="555"/>
      <c r="N441" s="644"/>
      <c r="O441" s="645"/>
    </row>
    <row r="442" spans="1:16" ht="18">
      <c r="B442" s="648" t="s">
        <v>474</v>
      </c>
      <c r="C442" s="730" t="s">
        <v>95</v>
      </c>
      <c r="D442" s="529"/>
      <c r="E442" s="308"/>
      <c r="F442" s="308"/>
      <c r="G442" s="308"/>
      <c r="H442" s="699"/>
      <c r="I442" s="699"/>
      <c r="J442" s="721"/>
      <c r="K442" s="699"/>
      <c r="L442" s="699"/>
      <c r="M442" s="699"/>
      <c r="N442" s="699"/>
      <c r="O442" s="308"/>
    </row>
    <row r="443" spans="1:16" ht="18.75">
      <c r="B443" s="648"/>
      <c r="C443" s="647"/>
      <c r="D443" s="529"/>
      <c r="E443" s="308"/>
      <c r="F443" s="308"/>
      <c r="G443" s="308"/>
      <c r="H443" s="699"/>
      <c r="I443" s="699"/>
      <c r="J443" s="721"/>
      <c r="K443" s="699"/>
      <c r="L443" s="699"/>
      <c r="M443" s="699"/>
      <c r="N443" s="699"/>
      <c r="O443" s="308"/>
    </row>
    <row r="444" spans="1:16" ht="18.75">
      <c r="B444" s="648"/>
      <c r="C444" s="647" t="s">
        <v>96</v>
      </c>
      <c r="D444" s="529"/>
      <c r="E444" s="308"/>
      <c r="F444" s="308"/>
      <c r="G444" s="308"/>
      <c r="H444" s="699"/>
      <c r="I444" s="699"/>
      <c r="J444" s="721"/>
      <c r="K444" s="699"/>
      <c r="L444" s="699"/>
      <c r="M444" s="699"/>
      <c r="N444" s="699"/>
      <c r="O444" s="308"/>
    </row>
    <row r="445" spans="1:16" ht="15.75" thickBot="1">
      <c r="C445" s="239"/>
      <c r="D445" s="529"/>
      <c r="E445" s="308"/>
      <c r="F445" s="308"/>
      <c r="G445" s="308"/>
      <c r="H445" s="699"/>
      <c r="I445" s="699"/>
      <c r="J445" s="721"/>
      <c r="K445" s="699"/>
      <c r="L445" s="699"/>
      <c r="M445" s="699"/>
      <c r="N445" s="699"/>
      <c r="O445" s="308"/>
    </row>
    <row r="446" spans="1:16" ht="15.75">
      <c r="C446" s="650" t="s">
        <v>97</v>
      </c>
      <c r="D446" s="529"/>
      <c r="E446" s="308"/>
      <c r="F446" s="308"/>
      <c r="G446" s="797"/>
      <c r="H446" s="308" t="s">
        <v>76</v>
      </c>
      <c r="I446" s="308"/>
      <c r="J446" s="418"/>
      <c r="K446" s="731" t="s">
        <v>101</v>
      </c>
      <c r="L446" s="732"/>
      <c r="M446" s="733"/>
      <c r="N446" s="734">
        <f>IF(I452=0,0,VLOOKUP(I452,C459:O518,5))</f>
        <v>12242564.386643896</v>
      </c>
      <c r="O446" s="308"/>
    </row>
    <row r="447" spans="1:16" ht="15.75">
      <c r="C447" s="650"/>
      <c r="D447" s="529"/>
      <c r="E447" s="308"/>
      <c r="F447" s="308"/>
      <c r="G447" s="308"/>
      <c r="H447" s="735"/>
      <c r="I447" s="735"/>
      <c r="J447" s="736"/>
      <c r="K447" s="737" t="s">
        <v>102</v>
      </c>
      <c r="L447" s="738"/>
      <c r="M447" s="418"/>
      <c r="N447" s="739">
        <f>IF(I452=0,0,VLOOKUP(I452,C459:O518,6))</f>
        <v>12242564.386643896</v>
      </c>
      <c r="O447" s="308"/>
    </row>
    <row r="448" spans="1:16" ht="13.5" thickBot="1">
      <c r="C448" s="740" t="s">
        <v>98</v>
      </c>
      <c r="D448" s="1553" t="s">
        <v>821</v>
      </c>
      <c r="E448" s="1553"/>
      <c r="F448" s="1553"/>
      <c r="G448" s="1553"/>
      <c r="H448" s="1553"/>
      <c r="I448" s="1553"/>
      <c r="J448" s="721"/>
      <c r="K448" s="741" t="s">
        <v>240</v>
      </c>
      <c r="L448" s="742"/>
      <c r="M448" s="742"/>
      <c r="N448" s="743">
        <f>+N447-N446</f>
        <v>0</v>
      </c>
      <c r="O448" s="308"/>
    </row>
    <row r="449" spans="2:15">
      <c r="C449" s="744"/>
      <c r="D449" s="1553"/>
      <c r="E449" s="1553"/>
      <c r="F449" s="1553"/>
      <c r="G449" s="1553"/>
      <c r="H449" s="1553"/>
      <c r="I449" s="1553"/>
      <c r="J449" s="721"/>
      <c r="K449" s="699"/>
      <c r="L449" s="699"/>
      <c r="M449" s="699"/>
      <c r="N449" s="699"/>
      <c r="O449" s="308"/>
    </row>
    <row r="450" spans="2:15" ht="13.5" thickBot="1">
      <c r="C450" s="747"/>
      <c r="D450" s="748"/>
      <c r="E450" s="746"/>
      <c r="F450" s="746"/>
      <c r="G450" s="746"/>
      <c r="H450" s="746"/>
      <c r="I450" s="746"/>
      <c r="J450" s="749"/>
      <c r="K450" s="746"/>
      <c r="L450" s="746"/>
      <c r="M450" s="746"/>
      <c r="N450" s="746"/>
      <c r="O450" s="341"/>
    </row>
    <row r="451" spans="2:15" ht="13.5" thickBot="1">
      <c r="C451" s="750" t="s">
        <v>99</v>
      </c>
      <c r="D451" s="751"/>
      <c r="E451" s="751"/>
      <c r="F451" s="751"/>
      <c r="G451" s="751"/>
      <c r="H451" s="751"/>
      <c r="I451" s="752"/>
      <c r="J451" s="753"/>
      <c r="K451" s="308"/>
      <c r="L451" s="308"/>
      <c r="M451" s="308"/>
      <c r="N451" s="308"/>
      <c r="O451" s="754"/>
    </row>
    <row r="452" spans="2:15" ht="15">
      <c r="C452" s="755" t="s">
        <v>77</v>
      </c>
      <c r="D452" s="799">
        <v>99133292</v>
      </c>
      <c r="E452" s="716" t="s">
        <v>78</v>
      </c>
      <c r="G452" s="756"/>
      <c r="H452" s="756"/>
      <c r="I452" s="757">
        <f>$L$26</f>
        <v>2022</v>
      </c>
      <c r="J452" s="545"/>
      <c r="K452" s="1554" t="s">
        <v>249</v>
      </c>
      <c r="L452" s="1554"/>
      <c r="M452" s="1554"/>
      <c r="N452" s="1554"/>
      <c r="O452" s="1554"/>
    </row>
    <row r="453" spans="2:15">
      <c r="C453" s="755" t="s">
        <v>80</v>
      </c>
      <c r="D453" s="800">
        <v>2016</v>
      </c>
      <c r="E453" s="755" t="s">
        <v>81</v>
      </c>
      <c r="F453" s="756"/>
      <c r="H453" s="172"/>
      <c r="I453" s="801">
        <f>IF(G446="",0,$F$17)</f>
        <v>0</v>
      </c>
      <c r="J453" s="758"/>
      <c r="K453" s="721" t="s">
        <v>249</v>
      </c>
    </row>
    <row r="454" spans="2:15">
      <c r="C454" s="755" t="s">
        <v>82</v>
      </c>
      <c r="D454" s="799">
        <v>6</v>
      </c>
      <c r="E454" s="755" t="s">
        <v>83</v>
      </c>
      <c r="F454" s="756"/>
      <c r="H454" s="172"/>
      <c r="I454" s="759">
        <f>$G$70</f>
        <v>0.11486185889303469</v>
      </c>
      <c r="J454" s="760"/>
      <c r="K454" s="172" t="str">
        <f>"          INPUT PROJECTED ARR (WITH &amp; WITHOUT INCENTIVES) FROM EACH PRIOR YEAR"</f>
        <v xml:space="preserve">          INPUT PROJECTED ARR (WITH &amp; WITHOUT INCENTIVES) FROM EACH PRIOR YEAR</v>
      </c>
    </row>
    <row r="455" spans="2:15">
      <c r="C455" s="755" t="s">
        <v>84</v>
      </c>
      <c r="D455" s="761">
        <f>$G$79</f>
        <v>36</v>
      </c>
      <c r="E455" s="755" t="s">
        <v>85</v>
      </c>
      <c r="F455" s="756"/>
      <c r="H455" s="172"/>
      <c r="I455" s="759">
        <f>IF(G446="",I454,$G$69)</f>
        <v>0.11486185889303469</v>
      </c>
      <c r="J455" s="762"/>
      <c r="K455" s="172" t="s">
        <v>162</v>
      </c>
    </row>
    <row r="456" spans="2:15" ht="13.5" thickBot="1">
      <c r="C456" s="755" t="s">
        <v>86</v>
      </c>
      <c r="D456" s="798" t="s">
        <v>814</v>
      </c>
      <c r="E456" s="763" t="s">
        <v>87</v>
      </c>
      <c r="F456" s="764"/>
      <c r="G456" s="765"/>
      <c r="H456" s="765"/>
      <c r="I456" s="743">
        <f>IF(D452=0,0,D452/D455)</f>
        <v>2753702.5555555555</v>
      </c>
      <c r="J456" s="721"/>
      <c r="K456" s="721" t="s">
        <v>168</v>
      </c>
      <c r="L456" s="721"/>
      <c r="M456" s="721"/>
      <c r="N456" s="721"/>
      <c r="O456" s="418"/>
    </row>
    <row r="457" spans="2:15" ht="51">
      <c r="B457" s="836"/>
      <c r="C457" s="766" t="s">
        <v>77</v>
      </c>
      <c r="D457" s="767" t="s">
        <v>88</v>
      </c>
      <c r="E457" s="768" t="s">
        <v>89</v>
      </c>
      <c r="F457" s="767" t="s">
        <v>90</v>
      </c>
      <c r="G457" s="768" t="s">
        <v>161</v>
      </c>
      <c r="H457" s="769" t="s">
        <v>161</v>
      </c>
      <c r="I457" s="766" t="s">
        <v>100</v>
      </c>
      <c r="J457" s="770"/>
      <c r="K457" s="768" t="s">
        <v>170</v>
      </c>
      <c r="L457" s="771"/>
      <c r="M457" s="768" t="s">
        <v>170</v>
      </c>
      <c r="N457" s="771"/>
      <c r="O457" s="771"/>
    </row>
    <row r="458" spans="2:15" ht="13.5" thickBot="1">
      <c r="C458" s="772" t="s">
        <v>477</v>
      </c>
      <c r="D458" s="773" t="s">
        <v>478</v>
      </c>
      <c r="E458" s="772" t="s">
        <v>371</v>
      </c>
      <c r="F458" s="773" t="s">
        <v>478</v>
      </c>
      <c r="G458" s="774" t="s">
        <v>103</v>
      </c>
      <c r="H458" s="775" t="s">
        <v>105</v>
      </c>
      <c r="I458" s="776" t="s">
        <v>17</v>
      </c>
      <c r="J458" s="777"/>
      <c r="K458" s="774" t="s">
        <v>92</v>
      </c>
      <c r="L458" s="778"/>
      <c r="M458" s="774" t="s">
        <v>105</v>
      </c>
      <c r="N458" s="778"/>
      <c r="O458" s="778"/>
    </row>
    <row r="459" spans="2:15">
      <c r="C459" s="779">
        <f>IF(D453= "","-",D453)</f>
        <v>2016</v>
      </c>
      <c r="D459" s="727">
        <f>+D452</f>
        <v>99133292</v>
      </c>
      <c r="E459" s="780">
        <f>+I456/12*(12-D454)</f>
        <v>1376851.2777777778</v>
      </c>
      <c r="F459" s="727">
        <f>+D459-E459</f>
        <v>97756440.722222224</v>
      </c>
      <c r="G459" s="988">
        <f>+$I$96*((D459+F459)/2)+E459</f>
        <v>12684411.626491379</v>
      </c>
      <c r="H459" s="989">
        <f>$I$97*((D459+F459)/2)+E459</f>
        <v>12684411.626491379</v>
      </c>
      <c r="I459" s="783">
        <f>+H459-G459</f>
        <v>0</v>
      </c>
      <c r="J459" s="783"/>
      <c r="K459" s="802">
        <v>8211582</v>
      </c>
      <c r="L459" s="784"/>
      <c r="M459" s="802">
        <v>8211582</v>
      </c>
      <c r="N459" s="784"/>
      <c r="O459" s="784"/>
    </row>
    <row r="460" spans="2:15">
      <c r="C460" s="779">
        <f>IF(D453="","-",+C459+1)</f>
        <v>2017</v>
      </c>
      <c r="D460" s="727">
        <f t="shared" ref="D460:D518" si="24">F459</f>
        <v>97756440.722222224</v>
      </c>
      <c r="E460" s="780">
        <f>IF(D460&gt;$I$456,$I$456,D460)</f>
        <v>2753702.5555555555</v>
      </c>
      <c r="F460" s="727">
        <f t="shared" ref="F460:F518" si="25">+D460-E460</f>
        <v>95002738.166666672</v>
      </c>
      <c r="G460" s="785">
        <f t="shared" ref="G460:G518" si="26">+$I$96*((D460+F460)/2)+E460</f>
        <v>13824041.35849195</v>
      </c>
      <c r="H460" s="786">
        <f t="shared" ref="H460:H518" si="27">$I$97*((D460+F460)/2)+E460</f>
        <v>13824041.35849195</v>
      </c>
      <c r="I460" s="783">
        <f t="shared" ref="I460:I518" si="28">+H460-G460</f>
        <v>0</v>
      </c>
      <c r="J460" s="783"/>
      <c r="K460" s="803">
        <v>9400319</v>
      </c>
      <c r="L460" s="787"/>
      <c r="M460" s="803">
        <v>9400319</v>
      </c>
      <c r="N460" s="787"/>
      <c r="O460" s="787"/>
    </row>
    <row r="461" spans="2:15">
      <c r="C461" s="1318">
        <f>IF(D453="","-",+C460+1)</f>
        <v>2018</v>
      </c>
      <c r="D461" s="727">
        <f t="shared" si="24"/>
        <v>95002738.166666672</v>
      </c>
      <c r="E461" s="780">
        <f t="shared" ref="E461:E518" si="29">IF(D461&gt;$I$456,$I$456,D461)</f>
        <v>2753702.5555555555</v>
      </c>
      <c r="F461" s="727">
        <f t="shared" si="25"/>
        <v>92249035.611111119</v>
      </c>
      <c r="G461" s="785">
        <f t="shared" si="26"/>
        <v>13507745.964122338</v>
      </c>
      <c r="H461" s="786">
        <f t="shared" si="27"/>
        <v>13507745.964122338</v>
      </c>
      <c r="I461" s="783">
        <f t="shared" si="28"/>
        <v>0</v>
      </c>
      <c r="J461" s="783"/>
      <c r="K461" s="803">
        <v>11231831</v>
      </c>
      <c r="L461" s="787"/>
      <c r="M461" s="803">
        <v>11231831</v>
      </c>
      <c r="N461" s="787"/>
      <c r="O461" s="787"/>
    </row>
    <row r="462" spans="2:15">
      <c r="C462" s="1298">
        <f>IF(D453="","-",+C461+1)</f>
        <v>2019</v>
      </c>
      <c r="D462" s="727">
        <f t="shared" si="24"/>
        <v>92249035.611111119</v>
      </c>
      <c r="E462" s="780">
        <f t="shared" si="29"/>
        <v>2753702.5555555555</v>
      </c>
      <c r="F462" s="727">
        <f t="shared" si="25"/>
        <v>89495333.055555567</v>
      </c>
      <c r="G462" s="785">
        <f t="shared" si="26"/>
        <v>13191450.569752727</v>
      </c>
      <c r="H462" s="786">
        <f t="shared" si="27"/>
        <v>13191450.569752727</v>
      </c>
      <c r="I462" s="783">
        <f t="shared" si="28"/>
        <v>0</v>
      </c>
      <c r="J462" s="783"/>
      <c r="K462" s="803"/>
      <c r="L462" s="787"/>
      <c r="M462" s="803"/>
      <c r="N462" s="787"/>
      <c r="O462" s="787"/>
    </row>
    <row r="463" spans="2:15">
      <c r="C463" s="1299">
        <f>IF(D453="","-",+C462+1)</f>
        <v>2020</v>
      </c>
      <c r="D463" s="727">
        <f t="shared" si="24"/>
        <v>89495333.055555567</v>
      </c>
      <c r="E463" s="780">
        <f t="shared" si="29"/>
        <v>2753702.5555555555</v>
      </c>
      <c r="F463" s="727">
        <f t="shared" si="25"/>
        <v>86741630.500000015</v>
      </c>
      <c r="G463" s="785">
        <f t="shared" si="26"/>
        <v>12875155.175383117</v>
      </c>
      <c r="H463" s="786">
        <f t="shared" si="27"/>
        <v>12875155.175383117</v>
      </c>
      <c r="I463" s="783">
        <f t="shared" si="28"/>
        <v>0</v>
      </c>
      <c r="J463" s="783"/>
      <c r="K463" s="803"/>
      <c r="L463" s="787"/>
      <c r="M463" s="803"/>
      <c r="N463" s="787"/>
      <c r="O463" s="787"/>
    </row>
    <row r="464" spans="2:15">
      <c r="C464" s="1299">
        <f>IF(D453="","-",+C463+1)</f>
        <v>2021</v>
      </c>
      <c r="D464" s="727">
        <f t="shared" si="24"/>
        <v>86741630.500000015</v>
      </c>
      <c r="E464" s="780">
        <f t="shared" si="29"/>
        <v>2753702.5555555555</v>
      </c>
      <c r="F464" s="727">
        <f t="shared" si="25"/>
        <v>83987927.944444463</v>
      </c>
      <c r="G464" s="785">
        <f t="shared" si="26"/>
        <v>12558859.781013506</v>
      </c>
      <c r="H464" s="786">
        <f t="shared" si="27"/>
        <v>12558859.781013506</v>
      </c>
      <c r="I464" s="783">
        <f t="shared" si="28"/>
        <v>0</v>
      </c>
      <c r="J464" s="783"/>
      <c r="K464" s="803"/>
      <c r="L464" s="787"/>
      <c r="M464" s="803"/>
      <c r="N464" s="787"/>
      <c r="O464" s="787"/>
    </row>
    <row r="465" spans="3:15">
      <c r="C465" s="779">
        <f>IF(D453="","-",+C464+1)</f>
        <v>2022</v>
      </c>
      <c r="D465" s="727">
        <f t="shared" si="24"/>
        <v>83987927.944444463</v>
      </c>
      <c r="E465" s="780">
        <f t="shared" si="29"/>
        <v>2753702.5555555555</v>
      </c>
      <c r="F465" s="727">
        <f t="shared" si="25"/>
        <v>81234225.38888891</v>
      </c>
      <c r="G465" s="785">
        <f t="shared" si="26"/>
        <v>12242564.386643896</v>
      </c>
      <c r="H465" s="786">
        <f t="shared" si="27"/>
        <v>12242564.386643896</v>
      </c>
      <c r="I465" s="783">
        <f t="shared" si="28"/>
        <v>0</v>
      </c>
      <c r="J465" s="783"/>
      <c r="K465" s="803"/>
      <c r="L465" s="787"/>
      <c r="M465" s="803"/>
      <c r="N465" s="787"/>
      <c r="O465" s="787"/>
    </row>
    <row r="466" spans="3:15">
      <c r="C466" s="779">
        <f>IF(D453="","-",+C465+1)</f>
        <v>2023</v>
      </c>
      <c r="D466" s="727">
        <f t="shared" si="24"/>
        <v>81234225.38888891</v>
      </c>
      <c r="E466" s="780">
        <f t="shared" si="29"/>
        <v>2753702.5555555555</v>
      </c>
      <c r="F466" s="727">
        <f t="shared" si="25"/>
        <v>78480522.833333358</v>
      </c>
      <c r="G466" s="785">
        <f t="shared" si="26"/>
        <v>11926268.992274284</v>
      </c>
      <c r="H466" s="786">
        <f t="shared" si="27"/>
        <v>11926268.992274284</v>
      </c>
      <c r="I466" s="783">
        <f t="shared" si="28"/>
        <v>0</v>
      </c>
      <c r="J466" s="783"/>
      <c r="K466" s="803"/>
      <c r="L466" s="787"/>
      <c r="M466" s="803"/>
      <c r="N466" s="787"/>
      <c r="O466" s="787"/>
    </row>
    <row r="467" spans="3:15">
      <c r="C467" s="779">
        <f>IF(D453="","-",+C466+1)</f>
        <v>2024</v>
      </c>
      <c r="D467" s="727">
        <f t="shared" si="24"/>
        <v>78480522.833333358</v>
      </c>
      <c r="E467" s="780">
        <f t="shared" si="29"/>
        <v>2753702.5555555555</v>
      </c>
      <c r="F467" s="727">
        <f t="shared" si="25"/>
        <v>75726820.277777806</v>
      </c>
      <c r="G467" s="785">
        <f t="shared" si="26"/>
        <v>11609973.597904673</v>
      </c>
      <c r="H467" s="786">
        <f t="shared" si="27"/>
        <v>11609973.597904673</v>
      </c>
      <c r="I467" s="783">
        <f t="shared" si="28"/>
        <v>0</v>
      </c>
      <c r="J467" s="783"/>
      <c r="K467" s="803"/>
      <c r="L467" s="787"/>
      <c r="M467" s="803"/>
      <c r="N467" s="787"/>
      <c r="O467" s="787"/>
    </row>
    <row r="468" spans="3:15">
      <c r="C468" s="779">
        <f>IF(D453="","-",+C467+1)</f>
        <v>2025</v>
      </c>
      <c r="D468" s="727">
        <f t="shared" si="24"/>
        <v>75726820.277777806</v>
      </c>
      <c r="E468" s="780">
        <f t="shared" si="29"/>
        <v>2753702.5555555555</v>
      </c>
      <c r="F468" s="727">
        <f t="shared" si="25"/>
        <v>72973117.722222254</v>
      </c>
      <c r="G468" s="785">
        <f t="shared" si="26"/>
        <v>11293678.203535063</v>
      </c>
      <c r="H468" s="786">
        <f t="shared" si="27"/>
        <v>11293678.203535063</v>
      </c>
      <c r="I468" s="783">
        <f t="shared" si="28"/>
        <v>0</v>
      </c>
      <c r="J468" s="783"/>
      <c r="K468" s="803"/>
      <c r="L468" s="787"/>
      <c r="M468" s="803"/>
      <c r="N468" s="787"/>
      <c r="O468" s="787"/>
    </row>
    <row r="469" spans="3:15">
      <c r="C469" s="779">
        <f>IF(D453="","-",+C468+1)</f>
        <v>2026</v>
      </c>
      <c r="D469" s="727">
        <f t="shared" si="24"/>
        <v>72973117.722222254</v>
      </c>
      <c r="E469" s="780">
        <f t="shared" si="29"/>
        <v>2753702.5555555555</v>
      </c>
      <c r="F469" s="727">
        <f t="shared" si="25"/>
        <v>70219415.166666701</v>
      </c>
      <c r="G469" s="785">
        <f t="shared" si="26"/>
        <v>10977382.809165452</v>
      </c>
      <c r="H469" s="786">
        <f t="shared" si="27"/>
        <v>10977382.809165452</v>
      </c>
      <c r="I469" s="783">
        <f t="shared" si="28"/>
        <v>0</v>
      </c>
      <c r="J469" s="783"/>
      <c r="K469" s="803"/>
      <c r="L469" s="787"/>
      <c r="M469" s="803"/>
      <c r="N469" s="787"/>
      <c r="O469" s="787"/>
    </row>
    <row r="470" spans="3:15">
      <c r="C470" s="779">
        <f>IF(D453="","-",+C469+1)</f>
        <v>2027</v>
      </c>
      <c r="D470" s="727">
        <f t="shared" si="24"/>
        <v>70219415.166666701</v>
      </c>
      <c r="E470" s="780">
        <f t="shared" si="29"/>
        <v>2753702.5555555555</v>
      </c>
      <c r="F470" s="727">
        <f t="shared" si="25"/>
        <v>67465712.611111149</v>
      </c>
      <c r="G470" s="785">
        <f t="shared" si="26"/>
        <v>10661087.41479584</v>
      </c>
      <c r="H470" s="786">
        <f t="shared" si="27"/>
        <v>10661087.41479584</v>
      </c>
      <c r="I470" s="783">
        <f t="shared" si="28"/>
        <v>0</v>
      </c>
      <c r="J470" s="783"/>
      <c r="K470" s="803"/>
      <c r="L470" s="787"/>
      <c r="M470" s="803"/>
      <c r="N470" s="787"/>
      <c r="O470" s="787"/>
    </row>
    <row r="471" spans="3:15">
      <c r="C471" s="779">
        <f>IF(D453="","-",+C470+1)</f>
        <v>2028</v>
      </c>
      <c r="D471" s="727">
        <f t="shared" si="24"/>
        <v>67465712.611111149</v>
      </c>
      <c r="E471" s="780">
        <f t="shared" si="29"/>
        <v>2753702.5555555555</v>
      </c>
      <c r="F471" s="727">
        <f t="shared" si="25"/>
        <v>64712010.055555597</v>
      </c>
      <c r="G471" s="785">
        <f t="shared" si="26"/>
        <v>10344792.020426229</v>
      </c>
      <c r="H471" s="786">
        <f t="shared" si="27"/>
        <v>10344792.020426229</v>
      </c>
      <c r="I471" s="783">
        <f t="shared" si="28"/>
        <v>0</v>
      </c>
      <c r="J471" s="783"/>
      <c r="K471" s="803"/>
      <c r="L471" s="787"/>
      <c r="M471" s="803"/>
      <c r="N471" s="788"/>
      <c r="O471" s="787"/>
    </row>
    <row r="472" spans="3:15">
      <c r="C472" s="779">
        <f>IF(D453="","-",+C471+1)</f>
        <v>2029</v>
      </c>
      <c r="D472" s="727">
        <f t="shared" si="24"/>
        <v>64712010.055555597</v>
      </c>
      <c r="E472" s="780">
        <f t="shared" si="29"/>
        <v>2753702.5555555555</v>
      </c>
      <c r="F472" s="727">
        <f t="shared" si="25"/>
        <v>61958307.500000045</v>
      </c>
      <c r="G472" s="785">
        <f t="shared" si="26"/>
        <v>10028496.626056619</v>
      </c>
      <c r="H472" s="786">
        <f t="shared" si="27"/>
        <v>10028496.626056619</v>
      </c>
      <c r="I472" s="783">
        <f t="shared" si="28"/>
        <v>0</v>
      </c>
      <c r="J472" s="783"/>
      <c r="K472" s="803"/>
      <c r="L472" s="787"/>
      <c r="M472" s="803"/>
      <c r="N472" s="787"/>
      <c r="O472" s="787"/>
    </row>
    <row r="473" spans="3:15">
      <c r="C473" s="779">
        <f>IF(D453="","-",+C472+1)</f>
        <v>2030</v>
      </c>
      <c r="D473" s="727">
        <f t="shared" si="24"/>
        <v>61958307.500000045</v>
      </c>
      <c r="E473" s="780">
        <f t="shared" si="29"/>
        <v>2753702.5555555555</v>
      </c>
      <c r="F473" s="727">
        <f t="shared" si="25"/>
        <v>59204604.944444492</v>
      </c>
      <c r="G473" s="785">
        <f t="shared" si="26"/>
        <v>9712201.2316870075</v>
      </c>
      <c r="H473" s="786">
        <f t="shared" si="27"/>
        <v>9712201.2316870075</v>
      </c>
      <c r="I473" s="783">
        <f t="shared" si="28"/>
        <v>0</v>
      </c>
      <c r="J473" s="783"/>
      <c r="K473" s="803"/>
      <c r="L473" s="787"/>
      <c r="M473" s="803"/>
      <c r="N473" s="787"/>
      <c r="O473" s="787"/>
    </row>
    <row r="474" spans="3:15">
      <c r="C474" s="779">
        <f>IF(D453="","-",+C473+1)</f>
        <v>2031</v>
      </c>
      <c r="D474" s="727">
        <f t="shared" si="24"/>
        <v>59204604.944444492</v>
      </c>
      <c r="E474" s="780">
        <f t="shared" si="29"/>
        <v>2753702.5555555555</v>
      </c>
      <c r="F474" s="727">
        <f t="shared" si="25"/>
        <v>56450902.38888894</v>
      </c>
      <c r="G474" s="785">
        <f t="shared" si="26"/>
        <v>9395905.8373173978</v>
      </c>
      <c r="H474" s="786">
        <f t="shared" si="27"/>
        <v>9395905.8373173978</v>
      </c>
      <c r="I474" s="783">
        <f t="shared" si="28"/>
        <v>0</v>
      </c>
      <c r="J474" s="783"/>
      <c r="K474" s="803"/>
      <c r="L474" s="787"/>
      <c r="M474" s="803"/>
      <c r="N474" s="787"/>
      <c r="O474" s="787"/>
    </row>
    <row r="475" spans="3:15">
      <c r="C475" s="779">
        <f>IF(D453="","-",+C474+1)</f>
        <v>2032</v>
      </c>
      <c r="D475" s="727">
        <f t="shared" si="24"/>
        <v>56450902.38888894</v>
      </c>
      <c r="E475" s="780">
        <f t="shared" si="29"/>
        <v>2753702.5555555555</v>
      </c>
      <c r="F475" s="727">
        <f t="shared" si="25"/>
        <v>53697199.833333388</v>
      </c>
      <c r="G475" s="785">
        <f t="shared" si="26"/>
        <v>9079610.4429477863</v>
      </c>
      <c r="H475" s="786">
        <f t="shared" si="27"/>
        <v>9079610.4429477863</v>
      </c>
      <c r="I475" s="783">
        <f t="shared" si="28"/>
        <v>0</v>
      </c>
      <c r="J475" s="783"/>
      <c r="K475" s="803"/>
      <c r="L475" s="787"/>
      <c r="M475" s="803"/>
      <c r="N475" s="787"/>
      <c r="O475" s="787"/>
    </row>
    <row r="476" spans="3:15">
      <c r="C476" s="779">
        <f>IF(D453="","-",+C475+1)</f>
        <v>2033</v>
      </c>
      <c r="D476" s="727">
        <f t="shared" si="24"/>
        <v>53697199.833333388</v>
      </c>
      <c r="E476" s="780">
        <f t="shared" si="29"/>
        <v>2753702.5555555555</v>
      </c>
      <c r="F476" s="727">
        <f t="shared" si="25"/>
        <v>50943497.277777836</v>
      </c>
      <c r="G476" s="785">
        <f t="shared" si="26"/>
        <v>8763315.0485781748</v>
      </c>
      <c r="H476" s="786">
        <f t="shared" si="27"/>
        <v>8763315.0485781748</v>
      </c>
      <c r="I476" s="783">
        <f t="shared" si="28"/>
        <v>0</v>
      </c>
      <c r="J476" s="783"/>
      <c r="K476" s="803"/>
      <c r="L476" s="787"/>
      <c r="M476" s="803"/>
      <c r="N476" s="787"/>
      <c r="O476" s="787"/>
    </row>
    <row r="477" spans="3:15">
      <c r="C477" s="779">
        <f>IF(D453="","-",+C476+1)</f>
        <v>2034</v>
      </c>
      <c r="D477" s="727">
        <f t="shared" si="24"/>
        <v>50943497.277777836</v>
      </c>
      <c r="E477" s="780">
        <f t="shared" si="29"/>
        <v>2753702.5555555555</v>
      </c>
      <c r="F477" s="727">
        <f t="shared" si="25"/>
        <v>48189794.722222283</v>
      </c>
      <c r="G477" s="785">
        <f t="shared" si="26"/>
        <v>8447019.6542085651</v>
      </c>
      <c r="H477" s="786">
        <f t="shared" si="27"/>
        <v>8447019.6542085651</v>
      </c>
      <c r="I477" s="783">
        <f t="shared" si="28"/>
        <v>0</v>
      </c>
      <c r="J477" s="783"/>
      <c r="K477" s="803"/>
      <c r="L477" s="787"/>
      <c r="M477" s="803"/>
      <c r="N477" s="787"/>
      <c r="O477" s="787"/>
    </row>
    <row r="478" spans="3:15">
      <c r="C478" s="779">
        <f>IF(D453="","-",+C477+1)</f>
        <v>2035</v>
      </c>
      <c r="D478" s="727">
        <f t="shared" si="24"/>
        <v>48189794.722222283</v>
      </c>
      <c r="E478" s="780">
        <f t="shared" si="29"/>
        <v>2753702.5555555555</v>
      </c>
      <c r="F478" s="727">
        <f t="shared" si="25"/>
        <v>45436092.166666731</v>
      </c>
      <c r="G478" s="785">
        <f t="shared" si="26"/>
        <v>8130724.2598389536</v>
      </c>
      <c r="H478" s="786">
        <f t="shared" si="27"/>
        <v>8130724.2598389536</v>
      </c>
      <c r="I478" s="783">
        <f t="shared" si="28"/>
        <v>0</v>
      </c>
      <c r="J478" s="783"/>
      <c r="K478" s="803"/>
      <c r="L478" s="787"/>
      <c r="M478" s="803"/>
      <c r="N478" s="787"/>
      <c r="O478" s="787"/>
    </row>
    <row r="479" spans="3:15">
      <c r="C479" s="779">
        <f>IF(D453="","-",+C478+1)</f>
        <v>2036</v>
      </c>
      <c r="D479" s="727">
        <f t="shared" si="24"/>
        <v>45436092.166666731</v>
      </c>
      <c r="E479" s="780">
        <f t="shared" si="29"/>
        <v>2753702.5555555555</v>
      </c>
      <c r="F479" s="727">
        <f t="shared" si="25"/>
        <v>42682389.611111179</v>
      </c>
      <c r="G479" s="785">
        <f t="shared" si="26"/>
        <v>7814428.8654693421</v>
      </c>
      <c r="H479" s="786">
        <f t="shared" si="27"/>
        <v>7814428.8654693421</v>
      </c>
      <c r="I479" s="783">
        <f t="shared" si="28"/>
        <v>0</v>
      </c>
      <c r="J479" s="783"/>
      <c r="K479" s="803"/>
      <c r="L479" s="787"/>
      <c r="M479" s="803"/>
      <c r="N479" s="787"/>
      <c r="O479" s="787"/>
    </row>
    <row r="480" spans="3:15">
      <c r="C480" s="779">
        <f>IF(D453="","-",+C479+1)</f>
        <v>2037</v>
      </c>
      <c r="D480" s="727">
        <f t="shared" si="24"/>
        <v>42682389.611111179</v>
      </c>
      <c r="E480" s="780">
        <f t="shared" si="29"/>
        <v>2753702.5555555555</v>
      </c>
      <c r="F480" s="727">
        <f t="shared" si="25"/>
        <v>39928687.055555627</v>
      </c>
      <c r="G480" s="785">
        <f t="shared" si="26"/>
        <v>7498133.4710997324</v>
      </c>
      <c r="H480" s="786">
        <f t="shared" si="27"/>
        <v>7498133.4710997324</v>
      </c>
      <c r="I480" s="783">
        <f t="shared" si="28"/>
        <v>0</v>
      </c>
      <c r="J480" s="783"/>
      <c r="K480" s="803"/>
      <c r="L480" s="787"/>
      <c r="M480" s="803"/>
      <c r="N480" s="787"/>
      <c r="O480" s="787"/>
    </row>
    <row r="481" spans="3:15">
      <c r="C481" s="779">
        <f>IF(D453="","-",+C480+1)</f>
        <v>2038</v>
      </c>
      <c r="D481" s="727">
        <f t="shared" si="24"/>
        <v>39928687.055555627</v>
      </c>
      <c r="E481" s="780">
        <f t="shared" si="29"/>
        <v>2753702.5555555555</v>
      </c>
      <c r="F481" s="727">
        <f t="shared" si="25"/>
        <v>37174984.500000075</v>
      </c>
      <c r="G481" s="785">
        <f t="shared" si="26"/>
        <v>7181838.0767301209</v>
      </c>
      <c r="H481" s="786">
        <f t="shared" si="27"/>
        <v>7181838.0767301209</v>
      </c>
      <c r="I481" s="783">
        <f t="shared" si="28"/>
        <v>0</v>
      </c>
      <c r="J481" s="783"/>
      <c r="K481" s="803"/>
      <c r="L481" s="787"/>
      <c r="M481" s="803"/>
      <c r="N481" s="787"/>
      <c r="O481" s="787"/>
    </row>
    <row r="482" spans="3:15">
      <c r="C482" s="779">
        <f>IF(D453="","-",+C481+1)</f>
        <v>2039</v>
      </c>
      <c r="D482" s="727">
        <f t="shared" si="24"/>
        <v>37174984.500000075</v>
      </c>
      <c r="E482" s="780">
        <f t="shared" si="29"/>
        <v>2753702.5555555555</v>
      </c>
      <c r="F482" s="727">
        <f t="shared" si="25"/>
        <v>34421281.944444522</v>
      </c>
      <c r="G482" s="785">
        <f t="shared" si="26"/>
        <v>6865542.6823605103</v>
      </c>
      <c r="H482" s="786">
        <f t="shared" si="27"/>
        <v>6865542.6823605103</v>
      </c>
      <c r="I482" s="783">
        <f t="shared" si="28"/>
        <v>0</v>
      </c>
      <c r="J482" s="783"/>
      <c r="K482" s="803"/>
      <c r="L482" s="787"/>
      <c r="M482" s="803"/>
      <c r="N482" s="787"/>
      <c r="O482" s="787"/>
    </row>
    <row r="483" spans="3:15">
      <c r="C483" s="779">
        <f>IF(D453="","-",+C482+1)</f>
        <v>2040</v>
      </c>
      <c r="D483" s="727">
        <f t="shared" si="24"/>
        <v>34421281.944444522</v>
      </c>
      <c r="E483" s="780">
        <f t="shared" si="29"/>
        <v>2753702.5555555555</v>
      </c>
      <c r="F483" s="727">
        <f t="shared" si="25"/>
        <v>31667579.388888966</v>
      </c>
      <c r="G483" s="785">
        <f t="shared" si="26"/>
        <v>6549247.2879908998</v>
      </c>
      <c r="H483" s="786">
        <f t="shared" si="27"/>
        <v>6549247.2879908998</v>
      </c>
      <c r="I483" s="783">
        <f t="shared" si="28"/>
        <v>0</v>
      </c>
      <c r="J483" s="783"/>
      <c r="K483" s="803"/>
      <c r="L483" s="787"/>
      <c r="M483" s="803"/>
      <c r="N483" s="787"/>
      <c r="O483" s="787"/>
    </row>
    <row r="484" spans="3:15">
      <c r="C484" s="779">
        <f>IF(D453="","-",+C483+1)</f>
        <v>2041</v>
      </c>
      <c r="D484" s="727">
        <f t="shared" si="24"/>
        <v>31667579.388888966</v>
      </c>
      <c r="E484" s="780">
        <f t="shared" si="29"/>
        <v>2753702.5555555555</v>
      </c>
      <c r="F484" s="727">
        <f t="shared" si="25"/>
        <v>28913876.83333341</v>
      </c>
      <c r="G484" s="785">
        <f t="shared" si="26"/>
        <v>6232951.8936212882</v>
      </c>
      <c r="H484" s="786">
        <f t="shared" si="27"/>
        <v>6232951.8936212882</v>
      </c>
      <c r="I484" s="783">
        <f t="shared" si="28"/>
        <v>0</v>
      </c>
      <c r="J484" s="783"/>
      <c r="K484" s="803"/>
      <c r="L484" s="787"/>
      <c r="M484" s="803"/>
      <c r="N484" s="787"/>
      <c r="O484" s="787"/>
    </row>
    <row r="485" spans="3:15">
      <c r="C485" s="779">
        <f>IF(D453="","-",+C484+1)</f>
        <v>2042</v>
      </c>
      <c r="D485" s="727">
        <f t="shared" si="24"/>
        <v>28913876.83333341</v>
      </c>
      <c r="E485" s="780">
        <f t="shared" si="29"/>
        <v>2753702.5555555555</v>
      </c>
      <c r="F485" s="727">
        <f t="shared" si="25"/>
        <v>26160174.277777854</v>
      </c>
      <c r="G485" s="785">
        <f t="shared" si="26"/>
        <v>5916656.4992516767</v>
      </c>
      <c r="H485" s="786">
        <f t="shared" si="27"/>
        <v>5916656.4992516767</v>
      </c>
      <c r="I485" s="783">
        <f t="shared" si="28"/>
        <v>0</v>
      </c>
      <c r="J485" s="783"/>
      <c r="K485" s="803"/>
      <c r="L485" s="787"/>
      <c r="M485" s="803"/>
      <c r="N485" s="787"/>
      <c r="O485" s="787"/>
    </row>
    <row r="486" spans="3:15">
      <c r="C486" s="779">
        <f>IF(D453="","-",+C485+1)</f>
        <v>2043</v>
      </c>
      <c r="D486" s="727">
        <f t="shared" si="24"/>
        <v>26160174.277777854</v>
      </c>
      <c r="E486" s="780">
        <f t="shared" si="29"/>
        <v>2753702.5555555555</v>
      </c>
      <c r="F486" s="727">
        <f t="shared" si="25"/>
        <v>23406471.722222298</v>
      </c>
      <c r="G486" s="785">
        <f t="shared" si="26"/>
        <v>5600361.1048820652</v>
      </c>
      <c r="H486" s="786">
        <f t="shared" si="27"/>
        <v>5600361.1048820652</v>
      </c>
      <c r="I486" s="783">
        <f t="shared" si="28"/>
        <v>0</v>
      </c>
      <c r="J486" s="783"/>
      <c r="K486" s="803"/>
      <c r="L486" s="787"/>
      <c r="M486" s="803"/>
      <c r="N486" s="787"/>
      <c r="O486" s="787"/>
    </row>
    <row r="487" spans="3:15">
      <c r="C487" s="779">
        <f>IF(D453="","-",+C486+1)</f>
        <v>2044</v>
      </c>
      <c r="D487" s="727">
        <f t="shared" si="24"/>
        <v>23406471.722222298</v>
      </c>
      <c r="E487" s="780">
        <f t="shared" si="29"/>
        <v>2753702.5555555555</v>
      </c>
      <c r="F487" s="727">
        <f t="shared" si="25"/>
        <v>20652769.166666742</v>
      </c>
      <c r="G487" s="781">
        <f t="shared" si="26"/>
        <v>5284065.7105124537</v>
      </c>
      <c r="H487" s="786">
        <f t="shared" si="27"/>
        <v>5284065.7105124537</v>
      </c>
      <c r="I487" s="783">
        <f t="shared" si="28"/>
        <v>0</v>
      </c>
      <c r="J487" s="783"/>
      <c r="K487" s="803"/>
      <c r="L487" s="787"/>
      <c r="M487" s="803"/>
      <c r="N487" s="787"/>
      <c r="O487" s="787"/>
    </row>
    <row r="488" spans="3:15">
      <c r="C488" s="779">
        <f>IF(D453="","-",+C487+1)</f>
        <v>2045</v>
      </c>
      <c r="D488" s="727">
        <f t="shared" si="24"/>
        <v>20652769.166666742</v>
      </c>
      <c r="E488" s="780">
        <f t="shared" si="29"/>
        <v>2753702.5555555555</v>
      </c>
      <c r="F488" s="727">
        <f t="shared" si="25"/>
        <v>17899066.611111186</v>
      </c>
      <c r="G488" s="785">
        <f t="shared" si="26"/>
        <v>4967770.3161428422</v>
      </c>
      <c r="H488" s="786">
        <f t="shared" si="27"/>
        <v>4967770.3161428422</v>
      </c>
      <c r="I488" s="783">
        <f t="shared" si="28"/>
        <v>0</v>
      </c>
      <c r="J488" s="783"/>
      <c r="K488" s="803"/>
      <c r="L488" s="787"/>
      <c r="M488" s="803"/>
      <c r="N488" s="787"/>
      <c r="O488" s="787"/>
    </row>
    <row r="489" spans="3:15">
      <c r="C489" s="779">
        <f>IF(D453="","-",+C488+1)</f>
        <v>2046</v>
      </c>
      <c r="D489" s="727">
        <f t="shared" si="24"/>
        <v>17899066.611111186</v>
      </c>
      <c r="E489" s="780">
        <f t="shared" si="29"/>
        <v>2753702.5555555555</v>
      </c>
      <c r="F489" s="727">
        <f t="shared" si="25"/>
        <v>15145364.05555563</v>
      </c>
      <c r="G489" s="785">
        <f t="shared" si="26"/>
        <v>4651474.9217732316</v>
      </c>
      <c r="H489" s="786">
        <f t="shared" si="27"/>
        <v>4651474.9217732316</v>
      </c>
      <c r="I489" s="783">
        <f t="shared" si="28"/>
        <v>0</v>
      </c>
      <c r="J489" s="783"/>
      <c r="K489" s="803"/>
      <c r="L489" s="787"/>
      <c r="M489" s="803"/>
      <c r="N489" s="787"/>
      <c r="O489" s="787"/>
    </row>
    <row r="490" spans="3:15">
      <c r="C490" s="779">
        <f>IF(D453="","-",+C489+1)</f>
        <v>2047</v>
      </c>
      <c r="D490" s="727">
        <f t="shared" si="24"/>
        <v>15145364.05555563</v>
      </c>
      <c r="E490" s="780">
        <f t="shared" si="29"/>
        <v>2753702.5555555555</v>
      </c>
      <c r="F490" s="727">
        <f t="shared" si="25"/>
        <v>12391661.500000075</v>
      </c>
      <c r="G490" s="785">
        <f t="shared" si="26"/>
        <v>4335179.5274036201</v>
      </c>
      <c r="H490" s="786">
        <f t="shared" si="27"/>
        <v>4335179.5274036201</v>
      </c>
      <c r="I490" s="783">
        <f t="shared" si="28"/>
        <v>0</v>
      </c>
      <c r="J490" s="783"/>
      <c r="K490" s="803"/>
      <c r="L490" s="787"/>
      <c r="M490" s="803"/>
      <c r="N490" s="787"/>
      <c r="O490" s="787"/>
    </row>
    <row r="491" spans="3:15">
      <c r="C491" s="779">
        <f>IF(D453="","-",+C490+1)</f>
        <v>2048</v>
      </c>
      <c r="D491" s="727">
        <f t="shared" si="24"/>
        <v>12391661.500000075</v>
      </c>
      <c r="E491" s="780">
        <f t="shared" si="29"/>
        <v>2753702.5555555555</v>
      </c>
      <c r="F491" s="727">
        <f t="shared" si="25"/>
        <v>9637958.9444445185</v>
      </c>
      <c r="G491" s="785">
        <f t="shared" si="26"/>
        <v>4018884.133034009</v>
      </c>
      <c r="H491" s="786">
        <f t="shared" si="27"/>
        <v>4018884.133034009</v>
      </c>
      <c r="I491" s="783">
        <f t="shared" si="28"/>
        <v>0</v>
      </c>
      <c r="J491" s="783"/>
      <c r="K491" s="803"/>
      <c r="L491" s="787"/>
      <c r="M491" s="803"/>
      <c r="N491" s="787"/>
      <c r="O491" s="787"/>
    </row>
    <row r="492" spans="3:15">
      <c r="C492" s="779">
        <f>IF(D453="","-",+C491+1)</f>
        <v>2049</v>
      </c>
      <c r="D492" s="727">
        <f t="shared" si="24"/>
        <v>9637958.9444445185</v>
      </c>
      <c r="E492" s="780">
        <f t="shared" si="29"/>
        <v>2753702.5555555555</v>
      </c>
      <c r="F492" s="727">
        <f t="shared" si="25"/>
        <v>6884256.3888889626</v>
      </c>
      <c r="G492" s="785">
        <f t="shared" si="26"/>
        <v>3702588.7386643975</v>
      </c>
      <c r="H492" s="786">
        <f t="shared" si="27"/>
        <v>3702588.7386643975</v>
      </c>
      <c r="I492" s="783">
        <f t="shared" si="28"/>
        <v>0</v>
      </c>
      <c r="J492" s="783"/>
      <c r="K492" s="803"/>
      <c r="L492" s="787"/>
      <c r="M492" s="803"/>
      <c r="N492" s="787"/>
      <c r="O492" s="787"/>
    </row>
    <row r="493" spans="3:15">
      <c r="C493" s="779">
        <f>IF(D453="","-",+C492+1)</f>
        <v>2050</v>
      </c>
      <c r="D493" s="727">
        <f t="shared" si="24"/>
        <v>6884256.3888889626</v>
      </c>
      <c r="E493" s="780">
        <f t="shared" si="29"/>
        <v>2753702.5555555555</v>
      </c>
      <c r="F493" s="727">
        <f t="shared" si="25"/>
        <v>4130553.8333334071</v>
      </c>
      <c r="G493" s="785">
        <f t="shared" si="26"/>
        <v>3386293.3442947865</v>
      </c>
      <c r="H493" s="786">
        <f t="shared" si="27"/>
        <v>3386293.3442947865</v>
      </c>
      <c r="I493" s="783">
        <f t="shared" si="28"/>
        <v>0</v>
      </c>
      <c r="J493" s="783"/>
      <c r="K493" s="803"/>
      <c r="L493" s="787"/>
      <c r="M493" s="803"/>
      <c r="N493" s="787"/>
      <c r="O493" s="787"/>
    </row>
    <row r="494" spans="3:15">
      <c r="C494" s="779">
        <f>IF(D453="","-",+C493+1)</f>
        <v>2051</v>
      </c>
      <c r="D494" s="727">
        <f t="shared" si="24"/>
        <v>4130553.8333334071</v>
      </c>
      <c r="E494" s="780">
        <f t="shared" si="29"/>
        <v>2753702.5555555555</v>
      </c>
      <c r="F494" s="727">
        <f t="shared" si="25"/>
        <v>1376851.2777778516</v>
      </c>
      <c r="G494" s="785">
        <f t="shared" si="26"/>
        <v>3069997.9499251754</v>
      </c>
      <c r="H494" s="786">
        <f t="shared" si="27"/>
        <v>3069997.9499251754</v>
      </c>
      <c r="I494" s="783">
        <f t="shared" si="28"/>
        <v>0</v>
      </c>
      <c r="J494" s="783"/>
      <c r="K494" s="803"/>
      <c r="L494" s="787"/>
      <c r="M494" s="803"/>
      <c r="N494" s="787"/>
      <c r="O494" s="787"/>
    </row>
    <row r="495" spans="3:15">
      <c r="C495" s="779">
        <f>IF(D453="","-",+C494+1)</f>
        <v>2052</v>
      </c>
      <c r="D495" s="727">
        <f t="shared" si="24"/>
        <v>1376851.2777778516</v>
      </c>
      <c r="E495" s="780">
        <f t="shared" si="29"/>
        <v>1376851.2777778516</v>
      </c>
      <c r="F495" s="727">
        <f t="shared" si="25"/>
        <v>0</v>
      </c>
      <c r="G495" s="785">
        <f t="shared" si="26"/>
        <v>1455925.1263702586</v>
      </c>
      <c r="H495" s="786">
        <f t="shared" si="27"/>
        <v>1455925.1263702586</v>
      </c>
      <c r="I495" s="783">
        <f t="shared" si="28"/>
        <v>0</v>
      </c>
      <c r="J495" s="783"/>
      <c r="K495" s="803"/>
      <c r="L495" s="787"/>
      <c r="M495" s="803"/>
      <c r="N495" s="787"/>
      <c r="O495" s="787"/>
    </row>
    <row r="496" spans="3:15">
      <c r="C496" s="779">
        <f>IF(D453="","-",+C495+1)</f>
        <v>2053</v>
      </c>
      <c r="D496" s="727">
        <f t="shared" si="24"/>
        <v>0</v>
      </c>
      <c r="E496" s="780">
        <f t="shared" si="29"/>
        <v>0</v>
      </c>
      <c r="F496" s="727">
        <f t="shared" si="25"/>
        <v>0</v>
      </c>
      <c r="G496" s="785">
        <f t="shared" si="26"/>
        <v>0</v>
      </c>
      <c r="H496" s="786">
        <f t="shared" si="27"/>
        <v>0</v>
      </c>
      <c r="I496" s="783">
        <f t="shared" si="28"/>
        <v>0</v>
      </c>
      <c r="J496" s="783"/>
      <c r="K496" s="803"/>
      <c r="L496" s="787"/>
      <c r="M496" s="803"/>
      <c r="N496" s="787"/>
      <c r="O496" s="787"/>
    </row>
    <row r="497" spans="3:15">
      <c r="C497" s="779">
        <f>IF(D453="","-",+C496+1)</f>
        <v>2054</v>
      </c>
      <c r="D497" s="727">
        <f t="shared" si="24"/>
        <v>0</v>
      </c>
      <c r="E497" s="780">
        <f t="shared" si="29"/>
        <v>0</v>
      </c>
      <c r="F497" s="727">
        <f t="shared" si="25"/>
        <v>0</v>
      </c>
      <c r="G497" s="785">
        <f t="shared" si="26"/>
        <v>0</v>
      </c>
      <c r="H497" s="786">
        <f t="shared" si="27"/>
        <v>0</v>
      </c>
      <c r="I497" s="783">
        <f t="shared" si="28"/>
        <v>0</v>
      </c>
      <c r="J497" s="783"/>
      <c r="K497" s="803"/>
      <c r="L497" s="787"/>
      <c r="M497" s="803"/>
      <c r="N497" s="787"/>
      <c r="O497" s="787"/>
    </row>
    <row r="498" spans="3:15">
      <c r="C498" s="779">
        <f>IF(D453="","-",+C497+1)</f>
        <v>2055</v>
      </c>
      <c r="D498" s="727">
        <f t="shared" si="24"/>
        <v>0</v>
      </c>
      <c r="E498" s="780">
        <f t="shared" si="29"/>
        <v>0</v>
      </c>
      <c r="F498" s="727">
        <f t="shared" si="25"/>
        <v>0</v>
      </c>
      <c r="G498" s="785">
        <f t="shared" si="26"/>
        <v>0</v>
      </c>
      <c r="H498" s="786">
        <f t="shared" si="27"/>
        <v>0</v>
      </c>
      <c r="I498" s="783">
        <f t="shared" si="28"/>
        <v>0</v>
      </c>
      <c r="J498" s="783"/>
      <c r="K498" s="803"/>
      <c r="L498" s="787"/>
      <c r="M498" s="803"/>
      <c r="N498" s="787"/>
      <c r="O498" s="787"/>
    </row>
    <row r="499" spans="3:15">
      <c r="C499" s="779">
        <f>IF(D453="","-",+C498+1)</f>
        <v>2056</v>
      </c>
      <c r="D499" s="727">
        <f t="shared" si="24"/>
        <v>0</v>
      </c>
      <c r="E499" s="780">
        <f t="shared" si="29"/>
        <v>0</v>
      </c>
      <c r="F499" s="727">
        <f t="shared" si="25"/>
        <v>0</v>
      </c>
      <c r="G499" s="785">
        <f t="shared" si="26"/>
        <v>0</v>
      </c>
      <c r="H499" s="786">
        <f t="shared" si="27"/>
        <v>0</v>
      </c>
      <c r="I499" s="783">
        <f t="shared" si="28"/>
        <v>0</v>
      </c>
      <c r="J499" s="783"/>
      <c r="K499" s="803"/>
      <c r="L499" s="787"/>
      <c r="M499" s="803"/>
      <c r="N499" s="787"/>
      <c r="O499" s="787"/>
    </row>
    <row r="500" spans="3:15">
      <c r="C500" s="779">
        <f>IF(D453="","-",+C499+1)</f>
        <v>2057</v>
      </c>
      <c r="D500" s="727">
        <f t="shared" si="24"/>
        <v>0</v>
      </c>
      <c r="E500" s="780">
        <f t="shared" si="29"/>
        <v>0</v>
      </c>
      <c r="F500" s="727">
        <f t="shared" si="25"/>
        <v>0</v>
      </c>
      <c r="G500" s="785">
        <f t="shared" si="26"/>
        <v>0</v>
      </c>
      <c r="H500" s="786">
        <f t="shared" si="27"/>
        <v>0</v>
      </c>
      <c r="I500" s="783">
        <f t="shared" si="28"/>
        <v>0</v>
      </c>
      <c r="J500" s="783"/>
      <c r="K500" s="803"/>
      <c r="L500" s="787"/>
      <c r="M500" s="803"/>
      <c r="N500" s="787"/>
      <c r="O500" s="787"/>
    </row>
    <row r="501" spans="3:15">
      <c r="C501" s="779">
        <f>IF(D453="","-",+C500+1)</f>
        <v>2058</v>
      </c>
      <c r="D501" s="727">
        <f t="shared" si="24"/>
        <v>0</v>
      </c>
      <c r="E501" s="780">
        <f t="shared" si="29"/>
        <v>0</v>
      </c>
      <c r="F501" s="727">
        <f t="shared" si="25"/>
        <v>0</v>
      </c>
      <c r="G501" s="785">
        <f t="shared" si="26"/>
        <v>0</v>
      </c>
      <c r="H501" s="786">
        <f t="shared" si="27"/>
        <v>0</v>
      </c>
      <c r="I501" s="783">
        <f t="shared" si="28"/>
        <v>0</v>
      </c>
      <c r="J501" s="783"/>
      <c r="K501" s="803"/>
      <c r="L501" s="787"/>
      <c r="M501" s="803"/>
      <c r="N501" s="787"/>
      <c r="O501" s="787"/>
    </row>
    <row r="502" spans="3:15">
      <c r="C502" s="779">
        <f>IF(D453="","-",+C501+1)</f>
        <v>2059</v>
      </c>
      <c r="D502" s="727">
        <f t="shared" si="24"/>
        <v>0</v>
      </c>
      <c r="E502" s="780">
        <f t="shared" si="29"/>
        <v>0</v>
      </c>
      <c r="F502" s="727">
        <f t="shared" si="25"/>
        <v>0</v>
      </c>
      <c r="G502" s="785">
        <f t="shared" si="26"/>
        <v>0</v>
      </c>
      <c r="H502" s="786">
        <f t="shared" si="27"/>
        <v>0</v>
      </c>
      <c r="I502" s="783">
        <f t="shared" si="28"/>
        <v>0</v>
      </c>
      <c r="J502" s="783"/>
      <c r="K502" s="803"/>
      <c r="L502" s="787"/>
      <c r="M502" s="803"/>
      <c r="N502" s="787"/>
      <c r="O502" s="787"/>
    </row>
    <row r="503" spans="3:15">
      <c r="C503" s="779">
        <f>IF(D453="","-",+C502+1)</f>
        <v>2060</v>
      </c>
      <c r="D503" s="727">
        <f t="shared" si="24"/>
        <v>0</v>
      </c>
      <c r="E503" s="780">
        <f t="shared" si="29"/>
        <v>0</v>
      </c>
      <c r="F503" s="727">
        <f t="shared" si="25"/>
        <v>0</v>
      </c>
      <c r="G503" s="785">
        <f t="shared" si="26"/>
        <v>0</v>
      </c>
      <c r="H503" s="786">
        <f t="shared" si="27"/>
        <v>0</v>
      </c>
      <c r="I503" s="783">
        <f t="shared" si="28"/>
        <v>0</v>
      </c>
      <c r="J503" s="783"/>
      <c r="K503" s="803"/>
      <c r="L503" s="787"/>
      <c r="M503" s="803"/>
      <c r="N503" s="787"/>
      <c r="O503" s="787"/>
    </row>
    <row r="504" spans="3:15">
      <c r="C504" s="779">
        <f>IF(D453="","-",+C503+1)</f>
        <v>2061</v>
      </c>
      <c r="D504" s="727">
        <f t="shared" si="24"/>
        <v>0</v>
      </c>
      <c r="E504" s="780">
        <f t="shared" si="29"/>
        <v>0</v>
      </c>
      <c r="F504" s="727">
        <f t="shared" si="25"/>
        <v>0</v>
      </c>
      <c r="G504" s="785">
        <f t="shared" si="26"/>
        <v>0</v>
      </c>
      <c r="H504" s="786">
        <f t="shared" si="27"/>
        <v>0</v>
      </c>
      <c r="I504" s="783">
        <f t="shared" si="28"/>
        <v>0</v>
      </c>
      <c r="J504" s="783"/>
      <c r="K504" s="803"/>
      <c r="L504" s="787"/>
      <c r="M504" s="803"/>
      <c r="N504" s="787"/>
      <c r="O504" s="787"/>
    </row>
    <row r="505" spans="3:15">
      <c r="C505" s="779">
        <f>IF(D453="","-",+C504+1)</f>
        <v>2062</v>
      </c>
      <c r="D505" s="727">
        <f t="shared" si="24"/>
        <v>0</v>
      </c>
      <c r="E505" s="780">
        <f t="shared" si="29"/>
        <v>0</v>
      </c>
      <c r="F505" s="727">
        <f t="shared" si="25"/>
        <v>0</v>
      </c>
      <c r="G505" s="785">
        <f t="shared" si="26"/>
        <v>0</v>
      </c>
      <c r="H505" s="786">
        <f t="shared" si="27"/>
        <v>0</v>
      </c>
      <c r="I505" s="783">
        <f t="shared" si="28"/>
        <v>0</v>
      </c>
      <c r="J505" s="783"/>
      <c r="K505" s="803"/>
      <c r="L505" s="787"/>
      <c r="M505" s="803"/>
      <c r="N505" s="787"/>
      <c r="O505" s="787"/>
    </row>
    <row r="506" spans="3:15">
      <c r="C506" s="779">
        <f>IF(D453="","-",+C505+1)</f>
        <v>2063</v>
      </c>
      <c r="D506" s="727">
        <f t="shared" si="24"/>
        <v>0</v>
      </c>
      <c r="E506" s="780">
        <f t="shared" si="29"/>
        <v>0</v>
      </c>
      <c r="F506" s="727">
        <f t="shared" si="25"/>
        <v>0</v>
      </c>
      <c r="G506" s="785">
        <f t="shared" si="26"/>
        <v>0</v>
      </c>
      <c r="H506" s="786">
        <f t="shared" si="27"/>
        <v>0</v>
      </c>
      <c r="I506" s="783">
        <f t="shared" si="28"/>
        <v>0</v>
      </c>
      <c r="J506" s="783"/>
      <c r="K506" s="803"/>
      <c r="L506" s="787"/>
      <c r="M506" s="803"/>
      <c r="N506" s="787"/>
      <c r="O506" s="787"/>
    </row>
    <row r="507" spans="3:15">
      <c r="C507" s="779">
        <f>IF(D453="","-",+C506+1)</f>
        <v>2064</v>
      </c>
      <c r="D507" s="727">
        <f t="shared" si="24"/>
        <v>0</v>
      </c>
      <c r="E507" s="780">
        <f t="shared" si="29"/>
        <v>0</v>
      </c>
      <c r="F507" s="727">
        <f t="shared" si="25"/>
        <v>0</v>
      </c>
      <c r="G507" s="785">
        <f t="shared" si="26"/>
        <v>0</v>
      </c>
      <c r="H507" s="786">
        <f t="shared" si="27"/>
        <v>0</v>
      </c>
      <c r="I507" s="783">
        <f t="shared" si="28"/>
        <v>0</v>
      </c>
      <c r="J507" s="783"/>
      <c r="K507" s="803"/>
      <c r="L507" s="787"/>
      <c r="M507" s="803"/>
      <c r="N507" s="787"/>
      <c r="O507" s="787"/>
    </row>
    <row r="508" spans="3:15">
      <c r="C508" s="779">
        <f>IF(D453="","-",+C507+1)</f>
        <v>2065</v>
      </c>
      <c r="D508" s="727">
        <f t="shared" si="24"/>
        <v>0</v>
      </c>
      <c r="E508" s="780">
        <f t="shared" si="29"/>
        <v>0</v>
      </c>
      <c r="F508" s="727">
        <f t="shared" si="25"/>
        <v>0</v>
      </c>
      <c r="G508" s="785">
        <f t="shared" si="26"/>
        <v>0</v>
      </c>
      <c r="H508" s="786">
        <f t="shared" si="27"/>
        <v>0</v>
      </c>
      <c r="I508" s="783">
        <f t="shared" si="28"/>
        <v>0</v>
      </c>
      <c r="J508" s="783"/>
      <c r="K508" s="803"/>
      <c r="L508" s="787"/>
      <c r="M508" s="803"/>
      <c r="N508" s="787"/>
      <c r="O508" s="787"/>
    </row>
    <row r="509" spans="3:15">
      <c r="C509" s="779">
        <f>IF(D453="","-",+C508+1)</f>
        <v>2066</v>
      </c>
      <c r="D509" s="727">
        <f t="shared" si="24"/>
        <v>0</v>
      </c>
      <c r="E509" s="780">
        <f t="shared" si="29"/>
        <v>0</v>
      </c>
      <c r="F509" s="727">
        <f t="shared" si="25"/>
        <v>0</v>
      </c>
      <c r="G509" s="785">
        <f t="shared" si="26"/>
        <v>0</v>
      </c>
      <c r="H509" s="786">
        <f t="shared" si="27"/>
        <v>0</v>
      </c>
      <c r="I509" s="783">
        <f t="shared" si="28"/>
        <v>0</v>
      </c>
      <c r="J509" s="783"/>
      <c r="K509" s="803"/>
      <c r="L509" s="787"/>
      <c r="M509" s="803"/>
      <c r="N509" s="787"/>
      <c r="O509" s="787"/>
    </row>
    <row r="510" spans="3:15">
      <c r="C510" s="779">
        <f>IF(D453="","-",+C509+1)</f>
        <v>2067</v>
      </c>
      <c r="D510" s="727">
        <f t="shared" si="24"/>
        <v>0</v>
      </c>
      <c r="E510" s="780">
        <f t="shared" si="29"/>
        <v>0</v>
      </c>
      <c r="F510" s="727">
        <f t="shared" si="25"/>
        <v>0</v>
      </c>
      <c r="G510" s="785">
        <f t="shared" si="26"/>
        <v>0</v>
      </c>
      <c r="H510" s="786">
        <f t="shared" si="27"/>
        <v>0</v>
      </c>
      <c r="I510" s="783">
        <f t="shared" si="28"/>
        <v>0</v>
      </c>
      <c r="J510" s="783"/>
      <c r="K510" s="803"/>
      <c r="L510" s="787"/>
      <c r="M510" s="803"/>
      <c r="N510" s="787"/>
      <c r="O510" s="787"/>
    </row>
    <row r="511" spans="3:15">
      <c r="C511" s="779">
        <f>IF(D453="","-",+C510+1)</f>
        <v>2068</v>
      </c>
      <c r="D511" s="727">
        <f t="shared" si="24"/>
        <v>0</v>
      </c>
      <c r="E511" s="780">
        <f t="shared" si="29"/>
        <v>0</v>
      </c>
      <c r="F511" s="727">
        <f t="shared" si="25"/>
        <v>0</v>
      </c>
      <c r="G511" s="785">
        <f t="shared" si="26"/>
        <v>0</v>
      </c>
      <c r="H511" s="786">
        <f t="shared" si="27"/>
        <v>0</v>
      </c>
      <c r="I511" s="783">
        <f t="shared" si="28"/>
        <v>0</v>
      </c>
      <c r="J511" s="783"/>
      <c r="K511" s="803"/>
      <c r="L511" s="787"/>
      <c r="M511" s="803"/>
      <c r="N511" s="787"/>
      <c r="O511" s="787"/>
    </row>
    <row r="512" spans="3:15">
      <c r="C512" s="779">
        <f>IF(D453="","-",+C511+1)</f>
        <v>2069</v>
      </c>
      <c r="D512" s="727">
        <f t="shared" si="24"/>
        <v>0</v>
      </c>
      <c r="E512" s="780">
        <f t="shared" si="29"/>
        <v>0</v>
      </c>
      <c r="F512" s="727">
        <f t="shared" si="25"/>
        <v>0</v>
      </c>
      <c r="G512" s="785">
        <f t="shared" si="26"/>
        <v>0</v>
      </c>
      <c r="H512" s="786">
        <f t="shared" si="27"/>
        <v>0</v>
      </c>
      <c r="I512" s="783">
        <f t="shared" si="28"/>
        <v>0</v>
      </c>
      <c r="J512" s="783"/>
      <c r="K512" s="803"/>
      <c r="L512" s="787"/>
      <c r="M512" s="803"/>
      <c r="N512" s="787"/>
      <c r="O512" s="787"/>
    </row>
    <row r="513" spans="3:15">
      <c r="C513" s="779">
        <f>IF(D453="","-",+C512+1)</f>
        <v>2070</v>
      </c>
      <c r="D513" s="727">
        <f t="shared" si="24"/>
        <v>0</v>
      </c>
      <c r="E513" s="780">
        <f t="shared" si="29"/>
        <v>0</v>
      </c>
      <c r="F513" s="727">
        <f t="shared" si="25"/>
        <v>0</v>
      </c>
      <c r="G513" s="785">
        <f t="shared" si="26"/>
        <v>0</v>
      </c>
      <c r="H513" s="786">
        <f t="shared" si="27"/>
        <v>0</v>
      </c>
      <c r="I513" s="783">
        <f t="shared" si="28"/>
        <v>0</v>
      </c>
      <c r="J513" s="783"/>
      <c r="K513" s="803"/>
      <c r="L513" s="787"/>
      <c r="M513" s="803"/>
      <c r="N513" s="787"/>
      <c r="O513" s="787"/>
    </row>
    <row r="514" spans="3:15">
      <c r="C514" s="779">
        <f>IF(D453="","-",+C513+1)</f>
        <v>2071</v>
      </c>
      <c r="D514" s="727">
        <f t="shared" si="24"/>
        <v>0</v>
      </c>
      <c r="E514" s="780">
        <f t="shared" si="29"/>
        <v>0</v>
      </c>
      <c r="F514" s="727">
        <f t="shared" si="25"/>
        <v>0</v>
      </c>
      <c r="G514" s="785">
        <f t="shared" si="26"/>
        <v>0</v>
      </c>
      <c r="H514" s="786">
        <f t="shared" si="27"/>
        <v>0</v>
      </c>
      <c r="I514" s="783">
        <f t="shared" si="28"/>
        <v>0</v>
      </c>
      <c r="J514" s="783"/>
      <c r="K514" s="803"/>
      <c r="L514" s="787"/>
      <c r="M514" s="803"/>
      <c r="N514" s="787"/>
      <c r="O514" s="787"/>
    </row>
    <row r="515" spans="3:15">
      <c r="C515" s="779">
        <f>IF(D453="","-",+C514+1)</f>
        <v>2072</v>
      </c>
      <c r="D515" s="727">
        <f t="shared" si="24"/>
        <v>0</v>
      </c>
      <c r="E515" s="780">
        <f t="shared" si="29"/>
        <v>0</v>
      </c>
      <c r="F515" s="727">
        <f t="shared" si="25"/>
        <v>0</v>
      </c>
      <c r="G515" s="785">
        <f t="shared" si="26"/>
        <v>0</v>
      </c>
      <c r="H515" s="786">
        <f t="shared" si="27"/>
        <v>0</v>
      </c>
      <c r="I515" s="783">
        <f t="shared" si="28"/>
        <v>0</v>
      </c>
      <c r="J515" s="783"/>
      <c r="K515" s="803"/>
      <c r="L515" s="787"/>
      <c r="M515" s="803"/>
      <c r="N515" s="787"/>
      <c r="O515" s="787"/>
    </row>
    <row r="516" spans="3:15">
      <c r="C516" s="779">
        <f>IF(D453="","-",+C515+1)</f>
        <v>2073</v>
      </c>
      <c r="D516" s="727">
        <f t="shared" si="24"/>
        <v>0</v>
      </c>
      <c r="E516" s="780">
        <f t="shared" si="29"/>
        <v>0</v>
      </c>
      <c r="F516" s="727">
        <f t="shared" si="25"/>
        <v>0</v>
      </c>
      <c r="G516" s="785">
        <f t="shared" si="26"/>
        <v>0</v>
      </c>
      <c r="H516" s="786">
        <f t="shared" si="27"/>
        <v>0</v>
      </c>
      <c r="I516" s="783">
        <f t="shared" si="28"/>
        <v>0</v>
      </c>
      <c r="J516" s="783"/>
      <c r="K516" s="803"/>
      <c r="L516" s="787"/>
      <c r="M516" s="803"/>
      <c r="N516" s="787"/>
      <c r="O516" s="787"/>
    </row>
    <row r="517" spans="3:15">
      <c r="C517" s="779">
        <f>IF(D453="","-",+C516+1)</f>
        <v>2074</v>
      </c>
      <c r="D517" s="727">
        <f t="shared" si="24"/>
        <v>0</v>
      </c>
      <c r="E517" s="780">
        <f t="shared" si="29"/>
        <v>0</v>
      </c>
      <c r="F517" s="727">
        <f t="shared" si="25"/>
        <v>0</v>
      </c>
      <c r="G517" s="785">
        <f t="shared" si="26"/>
        <v>0</v>
      </c>
      <c r="H517" s="786">
        <f t="shared" si="27"/>
        <v>0</v>
      </c>
      <c r="I517" s="783">
        <f t="shared" si="28"/>
        <v>0</v>
      </c>
      <c r="J517" s="783"/>
      <c r="K517" s="803"/>
      <c r="L517" s="787"/>
      <c r="M517" s="803"/>
      <c r="N517" s="787"/>
      <c r="O517" s="787"/>
    </row>
    <row r="518" spans="3:15" ht="13.5" thickBot="1">
      <c r="C518" s="789">
        <f>IF(D453="","-",+C517+1)</f>
        <v>2075</v>
      </c>
      <c r="D518" s="790">
        <f t="shared" si="24"/>
        <v>0</v>
      </c>
      <c r="E518" s="791">
        <f t="shared" si="29"/>
        <v>0</v>
      </c>
      <c r="F518" s="790">
        <f t="shared" si="25"/>
        <v>0</v>
      </c>
      <c r="G518" s="792">
        <f t="shared" si="26"/>
        <v>0</v>
      </c>
      <c r="H518" s="792">
        <f t="shared" si="27"/>
        <v>0</v>
      </c>
      <c r="I518" s="793">
        <f t="shared" si="28"/>
        <v>0</v>
      </c>
      <c r="J518" s="783"/>
      <c r="K518" s="804"/>
      <c r="L518" s="794"/>
      <c r="M518" s="804"/>
      <c r="N518" s="794"/>
      <c r="O518" s="794"/>
    </row>
    <row r="519" spans="3:15">
      <c r="C519" s="727" t="s">
        <v>93</v>
      </c>
      <c r="D519" s="721"/>
      <c r="E519" s="721">
        <f>SUM(E459:E518)</f>
        <v>99133292</v>
      </c>
      <c r="F519" s="721"/>
      <c r="G519" s="721">
        <f>SUM(G459:G518)</f>
        <v>309786024.65016139</v>
      </c>
      <c r="H519" s="721">
        <f>SUM(H459:H518)</f>
        <v>309786024.65016139</v>
      </c>
      <c r="I519" s="721">
        <f>SUM(I459:I518)</f>
        <v>0</v>
      </c>
      <c r="J519" s="721"/>
      <c r="K519" s="721"/>
      <c r="L519" s="721"/>
      <c r="M519" s="721"/>
      <c r="N519" s="721"/>
      <c r="O519" s="308"/>
    </row>
    <row r="520" spans="3:15">
      <c r="D520" s="529"/>
      <c r="E520" s="308"/>
      <c r="F520" s="308"/>
      <c r="G520" s="308"/>
      <c r="H520" s="699"/>
      <c r="I520" s="699"/>
      <c r="J520" s="721"/>
      <c r="K520" s="699"/>
      <c r="L520" s="699"/>
      <c r="M520" s="699"/>
      <c r="N520" s="699"/>
      <c r="O520" s="308"/>
    </row>
    <row r="521" spans="3:15">
      <c r="C521" s="308" t="s">
        <v>15</v>
      </c>
      <c r="D521" s="529"/>
      <c r="E521" s="308"/>
      <c r="F521" s="308"/>
      <c r="G521" s="308"/>
      <c r="H521" s="699"/>
      <c r="I521" s="699"/>
      <c r="J521" s="721"/>
      <c r="K521" s="699"/>
      <c r="L521" s="699"/>
      <c r="M521" s="699"/>
      <c r="N521" s="699"/>
      <c r="O521" s="308"/>
    </row>
    <row r="522" spans="3:15">
      <c r="C522" s="308"/>
      <c r="D522" s="529"/>
      <c r="E522" s="308"/>
      <c r="F522" s="308"/>
      <c r="G522" s="308"/>
      <c r="H522" s="699"/>
      <c r="I522" s="699"/>
      <c r="J522" s="721"/>
      <c r="K522" s="699"/>
      <c r="L522" s="699"/>
      <c r="M522" s="699"/>
      <c r="N522" s="699"/>
      <c r="O522" s="308"/>
    </row>
    <row r="523" spans="3:15">
      <c r="C523" s="740" t="s">
        <v>16</v>
      </c>
      <c r="D523" s="727"/>
      <c r="E523" s="727"/>
      <c r="F523" s="727"/>
      <c r="G523" s="721"/>
      <c r="H523" s="721"/>
      <c r="I523" s="795"/>
      <c r="J523" s="795"/>
      <c r="K523" s="795"/>
      <c r="L523" s="795"/>
      <c r="M523" s="795"/>
      <c r="N523" s="795"/>
      <c r="O523" s="308"/>
    </row>
    <row r="524" spans="3:15">
      <c r="C524" s="726" t="s">
        <v>273</v>
      </c>
      <c r="D524" s="727"/>
      <c r="E524" s="727"/>
      <c r="F524" s="727"/>
      <c r="G524" s="721"/>
      <c r="H524" s="721"/>
      <c r="I524" s="795"/>
      <c r="J524" s="795"/>
      <c r="K524" s="795"/>
      <c r="L524" s="795"/>
      <c r="M524" s="795"/>
      <c r="N524" s="795"/>
      <c r="O524" s="308"/>
    </row>
    <row r="525" spans="3:15">
      <c r="C525" s="726" t="s">
        <v>94</v>
      </c>
      <c r="D525" s="727"/>
      <c r="E525" s="727"/>
      <c r="F525" s="727"/>
      <c r="G525" s="721"/>
      <c r="H525" s="721"/>
      <c r="I525" s="795"/>
      <c r="J525" s="795"/>
      <c r="K525" s="795"/>
      <c r="L525" s="795"/>
      <c r="M525" s="795"/>
      <c r="N525" s="795"/>
      <c r="O525" s="308"/>
    </row>
    <row r="526" spans="3:15">
      <c r="C526" s="726"/>
      <c r="D526" s="727"/>
      <c r="E526" s="727"/>
      <c r="F526" s="727"/>
      <c r="G526" s="721"/>
      <c r="H526" s="721"/>
      <c r="I526" s="795"/>
      <c r="J526" s="795"/>
      <c r="K526" s="795"/>
      <c r="L526" s="795"/>
      <c r="M526" s="795"/>
      <c r="N526" s="795"/>
      <c r="O526" s="308"/>
    </row>
    <row r="527" spans="3:15">
      <c r="C527" s="1552" t="s">
        <v>8</v>
      </c>
      <c r="D527" s="1552"/>
      <c r="E527" s="1552"/>
      <c r="F527" s="1552"/>
      <c r="G527" s="1552"/>
      <c r="H527" s="1552"/>
      <c r="I527" s="1552"/>
      <c r="J527" s="1552"/>
      <c r="K527" s="1552"/>
      <c r="L527" s="1552"/>
      <c r="M527" s="1552"/>
      <c r="N527" s="1552"/>
      <c r="O527" s="1552"/>
    </row>
    <row r="528" spans="3:15">
      <c r="C528" s="1552"/>
      <c r="D528" s="1552"/>
      <c r="E528" s="1552"/>
      <c r="F528" s="1552"/>
      <c r="G528" s="1552"/>
      <c r="H528" s="1552"/>
      <c r="I528" s="1552"/>
      <c r="J528" s="1552"/>
      <c r="K528" s="1552"/>
      <c r="L528" s="1552"/>
      <c r="M528" s="1552"/>
      <c r="N528" s="1552"/>
      <c r="O528" s="1552"/>
    </row>
    <row r="529" spans="1:16" ht="20.25">
      <c r="A529" s="728" t="str">
        <f>""&amp;A453&amp;" Worksheet J -  ATRR PROJECTED Calculation for PJM Projects Charged to Benefiting Zones"</f>
        <v xml:space="preserve"> Worksheet J -  ATRR PROJECTED Calculation for PJM Projects Charged to Benefiting Zones</v>
      </c>
      <c r="B529" s="341"/>
      <c r="C529" s="716"/>
      <c r="D529" s="529"/>
      <c r="E529" s="308"/>
      <c r="F529" s="698"/>
      <c r="G529" s="308"/>
      <c r="H529" s="699"/>
      <c r="K529" s="555"/>
      <c r="L529" s="555"/>
      <c r="M529" s="555"/>
      <c r="N529" s="644" t="str">
        <f>"Page "&amp;SUM(P$8:P529)&amp;" of "</f>
        <v xml:space="preserve">Page 7 of </v>
      </c>
      <c r="O529" s="645">
        <f>COUNT(P$8:P$56656)</f>
        <v>11</v>
      </c>
      <c r="P529" s="172">
        <v>1</v>
      </c>
    </row>
    <row r="530" spans="1:16" ht="20.25">
      <c r="A530" s="728"/>
      <c r="B530" s="341"/>
      <c r="C530" s="716"/>
      <c r="D530" s="529"/>
      <c r="E530" s="308"/>
      <c r="F530" s="698"/>
      <c r="G530" s="308"/>
      <c r="H530" s="699"/>
      <c r="K530" s="555"/>
      <c r="L530" s="555"/>
      <c r="M530" s="555"/>
      <c r="N530" s="644"/>
      <c r="O530" s="645"/>
    </row>
    <row r="531" spans="1:16" ht="18">
      <c r="B531" s="648" t="s">
        <v>474</v>
      </c>
      <c r="C531" s="730" t="s">
        <v>95</v>
      </c>
      <c r="D531" s="529"/>
      <c r="E531" s="308"/>
      <c r="F531" s="308"/>
      <c r="G531" s="308"/>
      <c r="H531" s="699"/>
      <c r="I531" s="699"/>
      <c r="J531" s="721"/>
      <c r="K531" s="699"/>
      <c r="L531" s="699"/>
      <c r="M531" s="699"/>
      <c r="N531" s="699"/>
      <c r="O531" s="308"/>
    </row>
    <row r="532" spans="1:16" ht="18.75">
      <c r="B532" s="648"/>
      <c r="C532" s="647"/>
      <c r="D532" s="529"/>
      <c r="E532" s="308"/>
      <c r="F532" s="308"/>
      <c r="G532" s="308"/>
      <c r="H532" s="699"/>
      <c r="I532" s="699"/>
      <c r="J532" s="721"/>
      <c r="K532" s="699"/>
      <c r="L532" s="699"/>
      <c r="M532" s="699"/>
      <c r="N532" s="699"/>
      <c r="O532" s="308"/>
    </row>
    <row r="533" spans="1:16" ht="18.75">
      <c r="B533" s="648"/>
      <c r="C533" s="647" t="s">
        <v>96</v>
      </c>
      <c r="D533" s="529"/>
      <c r="E533" s="308"/>
      <c r="F533" s="308"/>
      <c r="G533" s="308"/>
      <c r="H533" s="699"/>
      <c r="I533" s="699"/>
      <c r="J533" s="721"/>
      <c r="K533" s="699"/>
      <c r="L533" s="699"/>
      <c r="M533" s="699"/>
      <c r="N533" s="699"/>
      <c r="O533" s="308"/>
    </row>
    <row r="534" spans="1:16" ht="15.75" thickBot="1">
      <c r="C534" s="239"/>
      <c r="D534" s="529"/>
      <c r="E534" s="308"/>
      <c r="F534" s="308"/>
      <c r="G534" s="308"/>
      <c r="H534" s="699"/>
      <c r="I534" s="699"/>
      <c r="J534" s="721"/>
      <c r="K534" s="699"/>
      <c r="L534" s="699"/>
      <c r="M534" s="699"/>
      <c r="N534" s="699"/>
      <c r="O534" s="308"/>
    </row>
    <row r="535" spans="1:16" ht="15.75">
      <c r="C535" s="650" t="s">
        <v>97</v>
      </c>
      <c r="D535" s="529"/>
      <c r="E535" s="308"/>
      <c r="F535" s="308"/>
      <c r="G535" s="797"/>
      <c r="H535" s="308" t="s">
        <v>76</v>
      </c>
      <c r="I535" s="308"/>
      <c r="J535" s="418"/>
      <c r="K535" s="731" t="s">
        <v>101</v>
      </c>
      <c r="L535" s="732"/>
      <c r="M535" s="733"/>
      <c r="N535" s="734">
        <f>IF(I541=0,0,VLOOKUP(I541,C548:O607,5))</f>
        <v>6519085.0393226575</v>
      </c>
      <c r="O535" s="308"/>
    </row>
    <row r="536" spans="1:16" ht="15.75">
      <c r="C536" s="650"/>
      <c r="D536" s="529"/>
      <c r="E536" s="308"/>
      <c r="F536" s="308"/>
      <c r="G536" s="308"/>
      <c r="H536" s="735"/>
      <c r="I536" s="735"/>
      <c r="J536" s="736"/>
      <c r="K536" s="737" t="s">
        <v>102</v>
      </c>
      <c r="L536" s="738"/>
      <c r="M536" s="418"/>
      <c r="N536" s="739">
        <f>IF(I541=0,0,VLOOKUP(I541,C548:O607,6))</f>
        <v>6519085.0393226575</v>
      </c>
      <c r="O536" s="308"/>
    </row>
    <row r="537" spans="1:16" ht="13.5" thickBot="1">
      <c r="C537" s="740" t="s">
        <v>98</v>
      </c>
      <c r="D537" s="1553" t="s">
        <v>822</v>
      </c>
      <c r="E537" s="1553"/>
      <c r="F537" s="1553"/>
      <c r="G537" s="1553"/>
      <c r="H537" s="1553"/>
      <c r="I537" s="1553"/>
      <c r="J537" s="721"/>
      <c r="K537" s="741" t="s">
        <v>240</v>
      </c>
      <c r="L537" s="742"/>
      <c r="M537" s="742"/>
      <c r="N537" s="743">
        <f>+N536-N535</f>
        <v>0</v>
      </c>
      <c r="O537" s="308"/>
    </row>
    <row r="538" spans="1:16">
      <c r="C538" s="744"/>
      <c r="D538" s="1553"/>
      <c r="E538" s="1553"/>
      <c r="F538" s="1553"/>
      <c r="G538" s="1553"/>
      <c r="H538" s="1553"/>
      <c r="I538" s="1553"/>
      <c r="J538" s="721"/>
      <c r="K538" s="699"/>
      <c r="L538" s="699"/>
      <c r="M538" s="699"/>
      <c r="N538" s="699"/>
      <c r="O538" s="308"/>
    </row>
    <row r="539" spans="1:16" ht="13.5" thickBot="1">
      <c r="C539" s="747"/>
      <c r="D539" s="748"/>
      <c r="E539" s="746"/>
      <c r="F539" s="746"/>
      <c r="G539" s="746"/>
      <c r="H539" s="746"/>
      <c r="I539" s="746"/>
      <c r="J539" s="749"/>
      <c r="K539" s="746"/>
      <c r="L539" s="746"/>
      <c r="M539" s="746"/>
      <c r="N539" s="746"/>
      <c r="O539" s="341"/>
    </row>
    <row r="540" spans="1:16" ht="13.5" thickBot="1">
      <c r="C540" s="750" t="s">
        <v>99</v>
      </c>
      <c r="D540" s="751"/>
      <c r="E540" s="751"/>
      <c r="F540" s="751"/>
      <c r="G540" s="751"/>
      <c r="H540" s="751"/>
      <c r="I540" s="752"/>
      <c r="J540" s="753"/>
      <c r="K540" s="308"/>
      <c r="L540" s="308"/>
      <c r="M540" s="308"/>
      <c r="N540" s="308"/>
      <c r="O540" s="754"/>
    </row>
    <row r="541" spans="1:16" ht="15">
      <c r="C541" s="755" t="s">
        <v>77</v>
      </c>
      <c r="D541" s="799">
        <v>52114617</v>
      </c>
      <c r="E541" s="716" t="s">
        <v>78</v>
      </c>
      <c r="G541" s="756"/>
      <c r="H541" s="756"/>
      <c r="I541" s="757">
        <f>$L$26</f>
        <v>2022</v>
      </c>
      <c r="J541" s="545"/>
      <c r="K541" s="1554" t="s">
        <v>249</v>
      </c>
      <c r="L541" s="1554"/>
      <c r="M541" s="1554"/>
      <c r="N541" s="1554"/>
      <c r="O541" s="1554"/>
    </row>
    <row r="542" spans="1:16">
      <c r="C542" s="755" t="s">
        <v>80</v>
      </c>
      <c r="D542" s="800">
        <v>2016</v>
      </c>
      <c r="E542" s="755" t="s">
        <v>81</v>
      </c>
      <c r="F542" s="756"/>
      <c r="H542" s="172"/>
      <c r="I542" s="801">
        <f>IF(G535="",0,$F$17)</f>
        <v>0</v>
      </c>
      <c r="J542" s="758"/>
      <c r="K542" s="721" t="s">
        <v>249</v>
      </c>
    </row>
    <row r="543" spans="1:16">
      <c r="C543" s="755" t="s">
        <v>82</v>
      </c>
      <c r="D543" s="799">
        <v>12</v>
      </c>
      <c r="E543" s="755" t="s">
        <v>83</v>
      </c>
      <c r="F543" s="756"/>
      <c r="H543" s="172"/>
      <c r="I543" s="759">
        <f>$G$70</f>
        <v>0.11486185889303469</v>
      </c>
      <c r="J543" s="760"/>
      <c r="K543" s="172" t="str">
        <f>"          INPUT PROJECTED ARR (WITH &amp; WITHOUT INCENTIVES) FROM EACH PRIOR YEAR"</f>
        <v xml:space="preserve">          INPUT PROJECTED ARR (WITH &amp; WITHOUT INCENTIVES) FROM EACH PRIOR YEAR</v>
      </c>
    </row>
    <row r="544" spans="1:16">
      <c r="C544" s="755" t="s">
        <v>84</v>
      </c>
      <c r="D544" s="761">
        <f>$G$79</f>
        <v>36</v>
      </c>
      <c r="E544" s="755" t="s">
        <v>85</v>
      </c>
      <c r="F544" s="756"/>
      <c r="H544" s="172"/>
      <c r="I544" s="759">
        <f>IF(G535="",I543,$G$69)</f>
        <v>0.11486185889303469</v>
      </c>
      <c r="J544" s="762"/>
      <c r="K544" s="172" t="s">
        <v>162</v>
      </c>
    </row>
    <row r="545" spans="2:15" ht="13.5" thickBot="1">
      <c r="C545" s="755" t="s">
        <v>86</v>
      </c>
      <c r="D545" s="798" t="s">
        <v>814</v>
      </c>
      <c r="E545" s="763" t="s">
        <v>87</v>
      </c>
      <c r="F545" s="764"/>
      <c r="G545" s="765"/>
      <c r="H545" s="765"/>
      <c r="I545" s="743">
        <f>IF(D541=0,0,D541/D544)</f>
        <v>1447628.25</v>
      </c>
      <c r="J545" s="721"/>
      <c r="K545" s="721" t="s">
        <v>168</v>
      </c>
      <c r="L545" s="721"/>
      <c r="M545" s="721"/>
      <c r="N545" s="721"/>
      <c r="O545" s="418"/>
    </row>
    <row r="546" spans="2:15" ht="51">
      <c r="B546" s="836"/>
      <c r="C546" s="766" t="s">
        <v>77</v>
      </c>
      <c r="D546" s="767" t="s">
        <v>88</v>
      </c>
      <c r="E546" s="768" t="s">
        <v>89</v>
      </c>
      <c r="F546" s="767" t="s">
        <v>90</v>
      </c>
      <c r="G546" s="768" t="s">
        <v>161</v>
      </c>
      <c r="H546" s="769" t="s">
        <v>161</v>
      </c>
      <c r="I546" s="766" t="s">
        <v>100</v>
      </c>
      <c r="J546" s="770"/>
      <c r="K546" s="768" t="s">
        <v>170</v>
      </c>
      <c r="L546" s="771"/>
      <c r="M546" s="768" t="s">
        <v>170</v>
      </c>
      <c r="N546" s="771"/>
      <c r="O546" s="771"/>
    </row>
    <row r="547" spans="2:15" ht="13.5" thickBot="1">
      <c r="C547" s="772" t="s">
        <v>477</v>
      </c>
      <c r="D547" s="773" t="s">
        <v>478</v>
      </c>
      <c r="E547" s="772" t="s">
        <v>371</v>
      </c>
      <c r="F547" s="773" t="s">
        <v>478</v>
      </c>
      <c r="G547" s="774" t="s">
        <v>103</v>
      </c>
      <c r="H547" s="775" t="s">
        <v>105</v>
      </c>
      <c r="I547" s="776" t="s">
        <v>17</v>
      </c>
      <c r="J547" s="777"/>
      <c r="K547" s="774" t="s">
        <v>92</v>
      </c>
      <c r="L547" s="778"/>
      <c r="M547" s="774" t="s">
        <v>105</v>
      </c>
      <c r="N547" s="778"/>
      <c r="O547" s="778"/>
    </row>
    <row r="548" spans="2:15">
      <c r="C548" s="779">
        <f>IF(D542= "","-",D542)</f>
        <v>2016</v>
      </c>
      <c r="D548" s="727">
        <f>+D541</f>
        <v>52114617</v>
      </c>
      <c r="E548" s="780">
        <f>+I545/12*(12-D543)</f>
        <v>0</v>
      </c>
      <c r="F548" s="727">
        <f>+D548-E548</f>
        <v>52114617</v>
      </c>
      <c r="G548" s="988">
        <f>+$I$96*((D548+F548)/2)+E548</f>
        <v>5985981.7841185462</v>
      </c>
      <c r="H548" s="989">
        <f>$I$97*((D548+F548)/2)+E548</f>
        <v>5985981.7841185462</v>
      </c>
      <c r="I548" s="783">
        <f>+H548-G548</f>
        <v>0</v>
      </c>
      <c r="J548" s="783"/>
      <c r="K548" s="802">
        <v>5279934</v>
      </c>
      <c r="L548" s="784"/>
      <c r="M548" s="802">
        <v>5279934</v>
      </c>
      <c r="N548" s="784"/>
      <c r="O548" s="784"/>
    </row>
    <row r="549" spans="2:15">
      <c r="C549" s="779">
        <f>IF(D542="","-",+C548+1)</f>
        <v>2017</v>
      </c>
      <c r="D549" s="727">
        <f t="shared" ref="D549:D607" si="30">F548</f>
        <v>52114617</v>
      </c>
      <c r="E549" s="780">
        <f>IF(D549&gt;$I$545,$I$545,D549)</f>
        <v>1447628.25</v>
      </c>
      <c r="F549" s="727">
        <f t="shared" ref="F549:F607" si="31">+D549-E549</f>
        <v>50666988.75</v>
      </c>
      <c r="G549" s="785">
        <f t="shared" ref="G549:G607" si="32">+$I$96*((D549+F549)/2)+E549</f>
        <v>7350471.3982280111</v>
      </c>
      <c r="H549" s="786">
        <f t="shared" ref="H549:H607" si="33">$I$97*((D549+F549)/2)+E549</f>
        <v>7350471.3982280111</v>
      </c>
      <c r="I549" s="783">
        <f t="shared" ref="I549:I607" si="34">+H549-G549</f>
        <v>0</v>
      </c>
      <c r="J549" s="783"/>
      <c r="K549" s="803">
        <v>5667478</v>
      </c>
      <c r="L549" s="787"/>
      <c r="M549" s="803">
        <v>5667478</v>
      </c>
      <c r="N549" s="787"/>
      <c r="O549" s="787"/>
    </row>
    <row r="550" spans="2:15">
      <c r="C550" s="1318">
        <f>IF(D542="","-",+C549+1)</f>
        <v>2018</v>
      </c>
      <c r="D550" s="727">
        <f t="shared" si="30"/>
        <v>50666988.75</v>
      </c>
      <c r="E550" s="780">
        <f t="shared" ref="E550:E607" si="35">IF(D550&gt;$I$545,$I$545,D550)</f>
        <v>1447628.25</v>
      </c>
      <c r="F550" s="727">
        <f t="shared" si="31"/>
        <v>49219360.5</v>
      </c>
      <c r="G550" s="785">
        <f t="shared" si="32"/>
        <v>7184194.1264469409</v>
      </c>
      <c r="H550" s="786">
        <f t="shared" si="33"/>
        <v>7184194.1264469409</v>
      </c>
      <c r="I550" s="783">
        <f t="shared" si="34"/>
        <v>0</v>
      </c>
      <c r="J550" s="783"/>
      <c r="K550" s="803">
        <v>4860385</v>
      </c>
      <c r="L550" s="787"/>
      <c r="M550" s="803">
        <v>4860385</v>
      </c>
      <c r="N550" s="787"/>
      <c r="O550" s="787"/>
    </row>
    <row r="551" spans="2:15">
      <c r="C551" s="1298">
        <f>IF(D542="","-",+C550+1)</f>
        <v>2019</v>
      </c>
      <c r="D551" s="727">
        <f t="shared" si="30"/>
        <v>49219360.5</v>
      </c>
      <c r="E551" s="780">
        <f t="shared" si="35"/>
        <v>1447628.25</v>
      </c>
      <c r="F551" s="727">
        <f t="shared" si="31"/>
        <v>47771732.25</v>
      </c>
      <c r="G551" s="785">
        <f t="shared" si="32"/>
        <v>7017916.8546658698</v>
      </c>
      <c r="H551" s="786">
        <f t="shared" si="33"/>
        <v>7017916.8546658698</v>
      </c>
      <c r="I551" s="783">
        <f t="shared" si="34"/>
        <v>0</v>
      </c>
      <c r="J551" s="783"/>
      <c r="K551" s="803"/>
      <c r="L551" s="787"/>
      <c r="M551" s="803"/>
      <c r="N551" s="787"/>
      <c r="O551" s="787"/>
    </row>
    <row r="552" spans="2:15">
      <c r="C552" s="1299">
        <f>IF(D542="","-",+C551+1)</f>
        <v>2020</v>
      </c>
      <c r="D552" s="727">
        <f t="shared" si="30"/>
        <v>47771732.25</v>
      </c>
      <c r="E552" s="780">
        <f t="shared" si="35"/>
        <v>1447628.25</v>
      </c>
      <c r="F552" s="727">
        <f t="shared" si="31"/>
        <v>46324104</v>
      </c>
      <c r="G552" s="785">
        <f t="shared" si="32"/>
        <v>6851639.5828847988</v>
      </c>
      <c r="H552" s="786">
        <f t="shared" si="33"/>
        <v>6851639.5828847988</v>
      </c>
      <c r="I552" s="783">
        <f t="shared" si="34"/>
        <v>0</v>
      </c>
      <c r="J552" s="783"/>
      <c r="K552" s="803"/>
      <c r="L552" s="787"/>
      <c r="M552" s="803"/>
      <c r="N552" s="787"/>
      <c r="O552" s="787"/>
    </row>
    <row r="553" spans="2:15">
      <c r="C553" s="1299">
        <f>IF(D542="","-",+C552+1)</f>
        <v>2021</v>
      </c>
      <c r="D553" s="727">
        <f t="shared" si="30"/>
        <v>46324104</v>
      </c>
      <c r="E553" s="780">
        <f t="shared" si="35"/>
        <v>1447628.25</v>
      </c>
      <c r="F553" s="727">
        <f t="shared" si="31"/>
        <v>44876475.75</v>
      </c>
      <c r="G553" s="785">
        <f t="shared" si="32"/>
        <v>6685362.3111037286</v>
      </c>
      <c r="H553" s="786">
        <f t="shared" si="33"/>
        <v>6685362.3111037286</v>
      </c>
      <c r="I553" s="783">
        <f t="shared" si="34"/>
        <v>0</v>
      </c>
      <c r="J553" s="783"/>
      <c r="K553" s="803"/>
      <c r="L553" s="787"/>
      <c r="M553" s="803"/>
      <c r="N553" s="787"/>
      <c r="O553" s="787"/>
    </row>
    <row r="554" spans="2:15">
      <c r="C554" s="779">
        <f>IF(D542="","-",+C553+1)</f>
        <v>2022</v>
      </c>
      <c r="D554" s="727">
        <f t="shared" si="30"/>
        <v>44876475.75</v>
      </c>
      <c r="E554" s="780">
        <f t="shared" si="35"/>
        <v>1447628.25</v>
      </c>
      <c r="F554" s="727">
        <f t="shared" si="31"/>
        <v>43428847.5</v>
      </c>
      <c r="G554" s="785">
        <f t="shared" si="32"/>
        <v>6519085.0393226575</v>
      </c>
      <c r="H554" s="786">
        <f t="shared" si="33"/>
        <v>6519085.0393226575</v>
      </c>
      <c r="I554" s="783">
        <f t="shared" si="34"/>
        <v>0</v>
      </c>
      <c r="J554" s="783"/>
      <c r="K554" s="803"/>
      <c r="L554" s="787"/>
      <c r="M554" s="803"/>
      <c r="N554" s="787"/>
      <c r="O554" s="787"/>
    </row>
    <row r="555" spans="2:15">
      <c r="C555" s="779">
        <f>IF(D542="","-",+C554+1)</f>
        <v>2023</v>
      </c>
      <c r="D555" s="727">
        <f t="shared" si="30"/>
        <v>43428847.5</v>
      </c>
      <c r="E555" s="780">
        <f t="shared" si="35"/>
        <v>1447628.25</v>
      </c>
      <c r="F555" s="727">
        <f t="shared" si="31"/>
        <v>41981219.25</v>
      </c>
      <c r="G555" s="785">
        <f t="shared" si="32"/>
        <v>6352807.7675415864</v>
      </c>
      <c r="H555" s="786">
        <f t="shared" si="33"/>
        <v>6352807.7675415864</v>
      </c>
      <c r="I555" s="783">
        <f t="shared" si="34"/>
        <v>0</v>
      </c>
      <c r="J555" s="783"/>
      <c r="K555" s="803"/>
      <c r="L555" s="787"/>
      <c r="M555" s="803"/>
      <c r="N555" s="787"/>
      <c r="O555" s="787"/>
    </row>
    <row r="556" spans="2:15">
      <c r="C556" s="779">
        <f>IF(D542="","-",+C555+1)</f>
        <v>2024</v>
      </c>
      <c r="D556" s="727">
        <f t="shared" si="30"/>
        <v>41981219.25</v>
      </c>
      <c r="E556" s="780">
        <f t="shared" si="35"/>
        <v>1447628.25</v>
      </c>
      <c r="F556" s="727">
        <f t="shared" si="31"/>
        <v>40533591</v>
      </c>
      <c r="G556" s="785">
        <f t="shared" si="32"/>
        <v>6186530.4957605163</v>
      </c>
      <c r="H556" s="786">
        <f t="shared" si="33"/>
        <v>6186530.4957605163</v>
      </c>
      <c r="I556" s="783">
        <f t="shared" si="34"/>
        <v>0</v>
      </c>
      <c r="J556" s="783"/>
      <c r="K556" s="803"/>
      <c r="L556" s="787"/>
      <c r="M556" s="803"/>
      <c r="N556" s="787"/>
      <c r="O556" s="787"/>
    </row>
    <row r="557" spans="2:15">
      <c r="C557" s="779">
        <f>IF(D542="","-",+C556+1)</f>
        <v>2025</v>
      </c>
      <c r="D557" s="727">
        <f t="shared" si="30"/>
        <v>40533591</v>
      </c>
      <c r="E557" s="780">
        <f t="shared" si="35"/>
        <v>1447628.25</v>
      </c>
      <c r="F557" s="727">
        <f t="shared" si="31"/>
        <v>39085962.75</v>
      </c>
      <c r="G557" s="785">
        <f t="shared" si="32"/>
        <v>6020253.2239794452</v>
      </c>
      <c r="H557" s="786">
        <f t="shared" si="33"/>
        <v>6020253.2239794452</v>
      </c>
      <c r="I557" s="783">
        <f t="shared" si="34"/>
        <v>0</v>
      </c>
      <c r="J557" s="783"/>
      <c r="K557" s="803"/>
      <c r="L557" s="787"/>
      <c r="M557" s="803"/>
      <c r="N557" s="787"/>
      <c r="O557" s="787"/>
    </row>
    <row r="558" spans="2:15">
      <c r="C558" s="779">
        <f>IF(D542="","-",+C557+1)</f>
        <v>2026</v>
      </c>
      <c r="D558" s="727">
        <f t="shared" si="30"/>
        <v>39085962.75</v>
      </c>
      <c r="E558" s="780">
        <f t="shared" si="35"/>
        <v>1447628.25</v>
      </c>
      <c r="F558" s="727">
        <f t="shared" si="31"/>
        <v>37638334.5</v>
      </c>
      <c r="G558" s="785">
        <f t="shared" si="32"/>
        <v>5853975.952198375</v>
      </c>
      <c r="H558" s="786">
        <f t="shared" si="33"/>
        <v>5853975.952198375</v>
      </c>
      <c r="I558" s="783">
        <f t="shared" si="34"/>
        <v>0</v>
      </c>
      <c r="J558" s="783"/>
      <c r="K558" s="803"/>
      <c r="L558" s="787"/>
      <c r="M558" s="803"/>
      <c r="N558" s="787"/>
      <c r="O558" s="787"/>
    </row>
    <row r="559" spans="2:15">
      <c r="C559" s="779">
        <f>IF(D542="","-",+C558+1)</f>
        <v>2027</v>
      </c>
      <c r="D559" s="727">
        <f t="shared" si="30"/>
        <v>37638334.5</v>
      </c>
      <c r="E559" s="780">
        <f t="shared" si="35"/>
        <v>1447628.25</v>
      </c>
      <c r="F559" s="727">
        <f t="shared" si="31"/>
        <v>36190706.25</v>
      </c>
      <c r="G559" s="785">
        <f t="shared" si="32"/>
        <v>5687698.6804173039</v>
      </c>
      <c r="H559" s="786">
        <f t="shared" si="33"/>
        <v>5687698.6804173039</v>
      </c>
      <c r="I559" s="783">
        <f t="shared" si="34"/>
        <v>0</v>
      </c>
      <c r="J559" s="783"/>
      <c r="K559" s="803"/>
      <c r="L559" s="787"/>
      <c r="M559" s="803"/>
      <c r="N559" s="787"/>
      <c r="O559" s="787"/>
    </row>
    <row r="560" spans="2:15">
      <c r="C560" s="779">
        <f>IF(D542="","-",+C559+1)</f>
        <v>2028</v>
      </c>
      <c r="D560" s="727">
        <f t="shared" si="30"/>
        <v>36190706.25</v>
      </c>
      <c r="E560" s="780">
        <f t="shared" si="35"/>
        <v>1447628.25</v>
      </c>
      <c r="F560" s="727">
        <f t="shared" si="31"/>
        <v>34743078</v>
      </c>
      <c r="G560" s="785">
        <f t="shared" si="32"/>
        <v>5521421.4086362328</v>
      </c>
      <c r="H560" s="786">
        <f t="shared" si="33"/>
        <v>5521421.4086362328</v>
      </c>
      <c r="I560" s="783">
        <f t="shared" si="34"/>
        <v>0</v>
      </c>
      <c r="J560" s="783"/>
      <c r="K560" s="803"/>
      <c r="L560" s="787"/>
      <c r="M560" s="803"/>
      <c r="N560" s="788"/>
      <c r="O560" s="787"/>
    </row>
    <row r="561" spans="3:15">
      <c r="C561" s="779">
        <f>IF(D542="","-",+C560+1)</f>
        <v>2029</v>
      </c>
      <c r="D561" s="727">
        <f t="shared" si="30"/>
        <v>34743078</v>
      </c>
      <c r="E561" s="780">
        <f t="shared" si="35"/>
        <v>1447628.25</v>
      </c>
      <c r="F561" s="727">
        <f t="shared" si="31"/>
        <v>33295449.75</v>
      </c>
      <c r="G561" s="785">
        <f t="shared" si="32"/>
        <v>5355144.1368551627</v>
      </c>
      <c r="H561" s="786">
        <f t="shared" si="33"/>
        <v>5355144.1368551627</v>
      </c>
      <c r="I561" s="783">
        <f t="shared" si="34"/>
        <v>0</v>
      </c>
      <c r="J561" s="783"/>
      <c r="K561" s="803"/>
      <c r="L561" s="787"/>
      <c r="M561" s="803"/>
      <c r="N561" s="787"/>
      <c r="O561" s="787"/>
    </row>
    <row r="562" spans="3:15">
      <c r="C562" s="779">
        <f>IF(D542="","-",+C561+1)</f>
        <v>2030</v>
      </c>
      <c r="D562" s="727">
        <f t="shared" si="30"/>
        <v>33295449.75</v>
      </c>
      <c r="E562" s="780">
        <f t="shared" si="35"/>
        <v>1447628.25</v>
      </c>
      <c r="F562" s="727">
        <f t="shared" si="31"/>
        <v>31847821.5</v>
      </c>
      <c r="G562" s="785">
        <f t="shared" si="32"/>
        <v>5188866.8650740916</v>
      </c>
      <c r="H562" s="786">
        <f t="shared" si="33"/>
        <v>5188866.8650740916</v>
      </c>
      <c r="I562" s="783">
        <f t="shared" si="34"/>
        <v>0</v>
      </c>
      <c r="J562" s="783"/>
      <c r="K562" s="803"/>
      <c r="L562" s="787"/>
      <c r="M562" s="803"/>
      <c r="N562" s="787"/>
      <c r="O562" s="787"/>
    </row>
    <row r="563" spans="3:15">
      <c r="C563" s="779">
        <f>IF(D542="","-",+C562+1)</f>
        <v>2031</v>
      </c>
      <c r="D563" s="727">
        <f t="shared" si="30"/>
        <v>31847821.5</v>
      </c>
      <c r="E563" s="780">
        <f t="shared" si="35"/>
        <v>1447628.25</v>
      </c>
      <c r="F563" s="727">
        <f t="shared" si="31"/>
        <v>30400193.25</v>
      </c>
      <c r="G563" s="785">
        <f t="shared" si="32"/>
        <v>5022589.5932930205</v>
      </c>
      <c r="H563" s="786">
        <f t="shared" si="33"/>
        <v>5022589.5932930205</v>
      </c>
      <c r="I563" s="783">
        <f t="shared" si="34"/>
        <v>0</v>
      </c>
      <c r="J563" s="783"/>
      <c r="K563" s="803"/>
      <c r="L563" s="787"/>
      <c r="M563" s="803"/>
      <c r="N563" s="787"/>
      <c r="O563" s="787"/>
    </row>
    <row r="564" spans="3:15">
      <c r="C564" s="779">
        <f>IF(D542="","-",+C563+1)</f>
        <v>2032</v>
      </c>
      <c r="D564" s="727">
        <f t="shared" si="30"/>
        <v>30400193.25</v>
      </c>
      <c r="E564" s="780">
        <f t="shared" si="35"/>
        <v>1447628.25</v>
      </c>
      <c r="F564" s="727">
        <f t="shared" si="31"/>
        <v>28952565</v>
      </c>
      <c r="G564" s="785">
        <f t="shared" si="32"/>
        <v>4856312.3215119503</v>
      </c>
      <c r="H564" s="786">
        <f t="shared" si="33"/>
        <v>4856312.3215119503</v>
      </c>
      <c r="I564" s="783">
        <f t="shared" si="34"/>
        <v>0</v>
      </c>
      <c r="J564" s="783"/>
      <c r="K564" s="803"/>
      <c r="L564" s="787"/>
      <c r="M564" s="803"/>
      <c r="N564" s="787"/>
      <c r="O564" s="787"/>
    </row>
    <row r="565" spans="3:15">
      <c r="C565" s="779">
        <f>IF(D542="","-",+C564+1)</f>
        <v>2033</v>
      </c>
      <c r="D565" s="727">
        <f t="shared" si="30"/>
        <v>28952565</v>
      </c>
      <c r="E565" s="780">
        <f t="shared" si="35"/>
        <v>1447628.25</v>
      </c>
      <c r="F565" s="727">
        <f t="shared" si="31"/>
        <v>27504936.75</v>
      </c>
      <c r="G565" s="785">
        <f t="shared" si="32"/>
        <v>4690035.0497308793</v>
      </c>
      <c r="H565" s="786">
        <f t="shared" si="33"/>
        <v>4690035.0497308793</v>
      </c>
      <c r="I565" s="783">
        <f t="shared" si="34"/>
        <v>0</v>
      </c>
      <c r="J565" s="783"/>
      <c r="K565" s="803"/>
      <c r="L565" s="787"/>
      <c r="M565" s="803"/>
      <c r="N565" s="787"/>
      <c r="O565" s="787"/>
    </row>
    <row r="566" spans="3:15">
      <c r="C566" s="779">
        <f>IF(D542="","-",+C565+1)</f>
        <v>2034</v>
      </c>
      <c r="D566" s="727">
        <f t="shared" si="30"/>
        <v>27504936.75</v>
      </c>
      <c r="E566" s="780">
        <f t="shared" si="35"/>
        <v>1447628.25</v>
      </c>
      <c r="F566" s="727">
        <f t="shared" si="31"/>
        <v>26057308.5</v>
      </c>
      <c r="G566" s="785">
        <f t="shared" si="32"/>
        <v>4523757.7779498082</v>
      </c>
      <c r="H566" s="786">
        <f t="shared" si="33"/>
        <v>4523757.7779498082</v>
      </c>
      <c r="I566" s="783">
        <f t="shared" si="34"/>
        <v>0</v>
      </c>
      <c r="J566" s="783"/>
      <c r="K566" s="803"/>
      <c r="L566" s="787"/>
      <c r="M566" s="803"/>
      <c r="N566" s="787"/>
      <c r="O566" s="787"/>
    </row>
    <row r="567" spans="3:15">
      <c r="C567" s="779">
        <f>IF(D542="","-",+C566+1)</f>
        <v>2035</v>
      </c>
      <c r="D567" s="727">
        <f t="shared" si="30"/>
        <v>26057308.5</v>
      </c>
      <c r="E567" s="780">
        <f t="shared" si="35"/>
        <v>1447628.25</v>
      </c>
      <c r="F567" s="727">
        <f t="shared" si="31"/>
        <v>24609680.25</v>
      </c>
      <c r="G567" s="785">
        <f t="shared" si="32"/>
        <v>4357480.506168738</v>
      </c>
      <c r="H567" s="786">
        <f t="shared" si="33"/>
        <v>4357480.506168738</v>
      </c>
      <c r="I567" s="783">
        <f t="shared" si="34"/>
        <v>0</v>
      </c>
      <c r="J567" s="783"/>
      <c r="K567" s="803"/>
      <c r="L567" s="787"/>
      <c r="M567" s="803"/>
      <c r="N567" s="787"/>
      <c r="O567" s="787"/>
    </row>
    <row r="568" spans="3:15">
      <c r="C568" s="779">
        <f>IF(D542="","-",+C567+1)</f>
        <v>2036</v>
      </c>
      <c r="D568" s="727">
        <f t="shared" si="30"/>
        <v>24609680.25</v>
      </c>
      <c r="E568" s="780">
        <f t="shared" si="35"/>
        <v>1447628.25</v>
      </c>
      <c r="F568" s="727">
        <f t="shared" si="31"/>
        <v>23162052</v>
      </c>
      <c r="G568" s="785">
        <f t="shared" si="32"/>
        <v>4191203.2343876674</v>
      </c>
      <c r="H568" s="786">
        <f t="shared" si="33"/>
        <v>4191203.2343876674</v>
      </c>
      <c r="I568" s="783">
        <f t="shared" si="34"/>
        <v>0</v>
      </c>
      <c r="J568" s="783"/>
      <c r="K568" s="803"/>
      <c r="L568" s="787"/>
      <c r="M568" s="803"/>
      <c r="N568" s="787"/>
      <c r="O568" s="787"/>
    </row>
    <row r="569" spans="3:15">
      <c r="C569" s="779">
        <f>IF(D542="","-",+C568+1)</f>
        <v>2037</v>
      </c>
      <c r="D569" s="727">
        <f t="shared" si="30"/>
        <v>23162052</v>
      </c>
      <c r="E569" s="780">
        <f t="shared" si="35"/>
        <v>1447628.25</v>
      </c>
      <c r="F569" s="727">
        <f t="shared" si="31"/>
        <v>21714423.75</v>
      </c>
      <c r="G569" s="785">
        <f t="shared" si="32"/>
        <v>4024925.9626065963</v>
      </c>
      <c r="H569" s="786">
        <f t="shared" si="33"/>
        <v>4024925.9626065963</v>
      </c>
      <c r="I569" s="783">
        <f t="shared" si="34"/>
        <v>0</v>
      </c>
      <c r="J569" s="783"/>
      <c r="K569" s="803"/>
      <c r="L569" s="787"/>
      <c r="M569" s="803"/>
      <c r="N569" s="787"/>
      <c r="O569" s="787"/>
    </row>
    <row r="570" spans="3:15">
      <c r="C570" s="779">
        <f>IF(D542="","-",+C569+1)</f>
        <v>2038</v>
      </c>
      <c r="D570" s="727">
        <f t="shared" si="30"/>
        <v>21714423.75</v>
      </c>
      <c r="E570" s="780">
        <f t="shared" si="35"/>
        <v>1447628.25</v>
      </c>
      <c r="F570" s="727">
        <f t="shared" si="31"/>
        <v>20266795.5</v>
      </c>
      <c r="G570" s="785">
        <f t="shared" si="32"/>
        <v>3858648.6908255257</v>
      </c>
      <c r="H570" s="786">
        <f t="shared" si="33"/>
        <v>3858648.6908255257</v>
      </c>
      <c r="I570" s="783">
        <f t="shared" si="34"/>
        <v>0</v>
      </c>
      <c r="J570" s="783"/>
      <c r="K570" s="803"/>
      <c r="L570" s="787"/>
      <c r="M570" s="803"/>
      <c r="N570" s="787"/>
      <c r="O570" s="787"/>
    </row>
    <row r="571" spans="3:15">
      <c r="C571" s="779">
        <f>IF(D542="","-",+C570+1)</f>
        <v>2039</v>
      </c>
      <c r="D571" s="727">
        <f t="shared" si="30"/>
        <v>20266795.5</v>
      </c>
      <c r="E571" s="780">
        <f t="shared" si="35"/>
        <v>1447628.25</v>
      </c>
      <c r="F571" s="727">
        <f t="shared" si="31"/>
        <v>18819167.25</v>
      </c>
      <c r="G571" s="785">
        <f t="shared" si="32"/>
        <v>3692371.419044455</v>
      </c>
      <c r="H571" s="786">
        <f t="shared" si="33"/>
        <v>3692371.419044455</v>
      </c>
      <c r="I571" s="783">
        <f t="shared" si="34"/>
        <v>0</v>
      </c>
      <c r="J571" s="783"/>
      <c r="K571" s="803"/>
      <c r="L571" s="787"/>
      <c r="M571" s="803"/>
      <c r="N571" s="787"/>
      <c r="O571" s="787"/>
    </row>
    <row r="572" spans="3:15">
      <c r="C572" s="779">
        <f>IF(D542="","-",+C571+1)</f>
        <v>2040</v>
      </c>
      <c r="D572" s="727">
        <f t="shared" si="30"/>
        <v>18819167.25</v>
      </c>
      <c r="E572" s="780">
        <f t="shared" si="35"/>
        <v>1447628.25</v>
      </c>
      <c r="F572" s="727">
        <f t="shared" si="31"/>
        <v>17371539</v>
      </c>
      <c r="G572" s="785">
        <f t="shared" si="32"/>
        <v>3526094.1472633844</v>
      </c>
      <c r="H572" s="786">
        <f t="shared" si="33"/>
        <v>3526094.1472633844</v>
      </c>
      <c r="I572" s="783">
        <f t="shared" si="34"/>
        <v>0</v>
      </c>
      <c r="J572" s="783"/>
      <c r="K572" s="803"/>
      <c r="L572" s="787"/>
      <c r="M572" s="803"/>
      <c r="N572" s="787"/>
      <c r="O572" s="787"/>
    </row>
    <row r="573" spans="3:15">
      <c r="C573" s="779">
        <f>IF(D542="","-",+C572+1)</f>
        <v>2041</v>
      </c>
      <c r="D573" s="727">
        <f t="shared" si="30"/>
        <v>17371539</v>
      </c>
      <c r="E573" s="780">
        <f t="shared" si="35"/>
        <v>1447628.25</v>
      </c>
      <c r="F573" s="727">
        <f t="shared" si="31"/>
        <v>15923910.75</v>
      </c>
      <c r="G573" s="785">
        <f t="shared" si="32"/>
        <v>3359816.8754823133</v>
      </c>
      <c r="H573" s="786">
        <f t="shared" si="33"/>
        <v>3359816.8754823133</v>
      </c>
      <c r="I573" s="783">
        <f t="shared" si="34"/>
        <v>0</v>
      </c>
      <c r="J573" s="783"/>
      <c r="K573" s="803"/>
      <c r="L573" s="787"/>
      <c r="M573" s="803"/>
      <c r="N573" s="787"/>
      <c r="O573" s="787"/>
    </row>
    <row r="574" spans="3:15">
      <c r="C574" s="779">
        <f>IF(D542="","-",+C573+1)</f>
        <v>2042</v>
      </c>
      <c r="D574" s="727">
        <f t="shared" si="30"/>
        <v>15923910.75</v>
      </c>
      <c r="E574" s="780">
        <f t="shared" si="35"/>
        <v>1447628.25</v>
      </c>
      <c r="F574" s="727">
        <f t="shared" si="31"/>
        <v>14476282.5</v>
      </c>
      <c r="G574" s="785">
        <f t="shared" si="32"/>
        <v>3193539.6037012427</v>
      </c>
      <c r="H574" s="786">
        <f t="shared" si="33"/>
        <v>3193539.6037012427</v>
      </c>
      <c r="I574" s="783">
        <f t="shared" si="34"/>
        <v>0</v>
      </c>
      <c r="J574" s="783"/>
      <c r="K574" s="803"/>
      <c r="L574" s="787"/>
      <c r="M574" s="803"/>
      <c r="N574" s="787"/>
      <c r="O574" s="787"/>
    </row>
    <row r="575" spans="3:15">
      <c r="C575" s="779">
        <f>IF(D542="","-",+C574+1)</f>
        <v>2043</v>
      </c>
      <c r="D575" s="727">
        <f t="shared" si="30"/>
        <v>14476282.5</v>
      </c>
      <c r="E575" s="780">
        <f t="shared" si="35"/>
        <v>1447628.25</v>
      </c>
      <c r="F575" s="727">
        <f t="shared" si="31"/>
        <v>13028654.25</v>
      </c>
      <c r="G575" s="785">
        <f t="shared" si="32"/>
        <v>3027262.3319201721</v>
      </c>
      <c r="H575" s="786">
        <f t="shared" si="33"/>
        <v>3027262.3319201721</v>
      </c>
      <c r="I575" s="783">
        <f t="shared" si="34"/>
        <v>0</v>
      </c>
      <c r="J575" s="783"/>
      <c r="K575" s="803"/>
      <c r="L575" s="787"/>
      <c r="M575" s="803"/>
      <c r="N575" s="787"/>
      <c r="O575" s="787"/>
    </row>
    <row r="576" spans="3:15">
      <c r="C576" s="779">
        <f>IF(D542="","-",+C575+1)</f>
        <v>2044</v>
      </c>
      <c r="D576" s="727">
        <f t="shared" si="30"/>
        <v>13028654.25</v>
      </c>
      <c r="E576" s="780">
        <f t="shared" si="35"/>
        <v>1447628.25</v>
      </c>
      <c r="F576" s="727">
        <f t="shared" si="31"/>
        <v>11581026</v>
      </c>
      <c r="G576" s="781">
        <f t="shared" si="32"/>
        <v>2860985.060139101</v>
      </c>
      <c r="H576" s="786">
        <f t="shared" si="33"/>
        <v>2860985.060139101</v>
      </c>
      <c r="I576" s="783">
        <f t="shared" si="34"/>
        <v>0</v>
      </c>
      <c r="J576" s="783"/>
      <c r="K576" s="803"/>
      <c r="L576" s="787"/>
      <c r="M576" s="803"/>
      <c r="N576" s="787"/>
      <c r="O576" s="787"/>
    </row>
    <row r="577" spans="3:15">
      <c r="C577" s="779">
        <f>IF(D542="","-",+C576+1)</f>
        <v>2045</v>
      </c>
      <c r="D577" s="727">
        <f t="shared" si="30"/>
        <v>11581026</v>
      </c>
      <c r="E577" s="780">
        <f t="shared" si="35"/>
        <v>1447628.25</v>
      </c>
      <c r="F577" s="727">
        <f t="shared" si="31"/>
        <v>10133397.75</v>
      </c>
      <c r="G577" s="785">
        <f t="shared" si="32"/>
        <v>2694707.7883580308</v>
      </c>
      <c r="H577" s="786">
        <f t="shared" si="33"/>
        <v>2694707.7883580308</v>
      </c>
      <c r="I577" s="783">
        <f t="shared" si="34"/>
        <v>0</v>
      </c>
      <c r="J577" s="783"/>
      <c r="K577" s="803"/>
      <c r="L577" s="787"/>
      <c r="M577" s="803"/>
      <c r="N577" s="787"/>
      <c r="O577" s="787"/>
    </row>
    <row r="578" spans="3:15">
      <c r="C578" s="779">
        <f>IF(D542="","-",+C577+1)</f>
        <v>2046</v>
      </c>
      <c r="D578" s="727">
        <f t="shared" si="30"/>
        <v>10133397.75</v>
      </c>
      <c r="E578" s="780">
        <f t="shared" si="35"/>
        <v>1447628.25</v>
      </c>
      <c r="F578" s="727">
        <f t="shared" si="31"/>
        <v>8685769.5</v>
      </c>
      <c r="G578" s="785">
        <f t="shared" si="32"/>
        <v>2528430.5165769598</v>
      </c>
      <c r="H578" s="786">
        <f t="shared" si="33"/>
        <v>2528430.5165769598</v>
      </c>
      <c r="I578" s="783">
        <f t="shared" si="34"/>
        <v>0</v>
      </c>
      <c r="J578" s="783"/>
      <c r="K578" s="803"/>
      <c r="L578" s="787"/>
      <c r="M578" s="803"/>
      <c r="N578" s="787"/>
      <c r="O578" s="787"/>
    </row>
    <row r="579" spans="3:15">
      <c r="C579" s="779">
        <f>IF(D542="","-",+C578+1)</f>
        <v>2047</v>
      </c>
      <c r="D579" s="727">
        <f t="shared" si="30"/>
        <v>8685769.5</v>
      </c>
      <c r="E579" s="780">
        <f t="shared" si="35"/>
        <v>1447628.25</v>
      </c>
      <c r="F579" s="727">
        <f t="shared" si="31"/>
        <v>7238141.25</v>
      </c>
      <c r="G579" s="785">
        <f t="shared" si="32"/>
        <v>2362153.2447958891</v>
      </c>
      <c r="H579" s="786">
        <f t="shared" si="33"/>
        <v>2362153.2447958891</v>
      </c>
      <c r="I579" s="783">
        <f t="shared" si="34"/>
        <v>0</v>
      </c>
      <c r="J579" s="783"/>
      <c r="K579" s="803"/>
      <c r="L579" s="787"/>
      <c r="M579" s="803"/>
      <c r="N579" s="787"/>
      <c r="O579" s="787"/>
    </row>
    <row r="580" spans="3:15">
      <c r="C580" s="779">
        <f>IF(D542="","-",+C579+1)</f>
        <v>2048</v>
      </c>
      <c r="D580" s="727">
        <f t="shared" si="30"/>
        <v>7238141.25</v>
      </c>
      <c r="E580" s="780">
        <f t="shared" si="35"/>
        <v>1447628.25</v>
      </c>
      <c r="F580" s="727">
        <f t="shared" si="31"/>
        <v>5790513</v>
      </c>
      <c r="G580" s="785">
        <f t="shared" si="32"/>
        <v>2195875.9730148185</v>
      </c>
      <c r="H580" s="786">
        <f t="shared" si="33"/>
        <v>2195875.9730148185</v>
      </c>
      <c r="I580" s="783">
        <f t="shared" si="34"/>
        <v>0</v>
      </c>
      <c r="J580" s="783"/>
      <c r="K580" s="803"/>
      <c r="L580" s="787"/>
      <c r="M580" s="803"/>
      <c r="N580" s="787"/>
      <c r="O580" s="787"/>
    </row>
    <row r="581" spans="3:15">
      <c r="C581" s="779">
        <f>IF(D542="","-",+C580+1)</f>
        <v>2049</v>
      </c>
      <c r="D581" s="727">
        <f t="shared" si="30"/>
        <v>5790513</v>
      </c>
      <c r="E581" s="780">
        <f t="shared" si="35"/>
        <v>1447628.25</v>
      </c>
      <c r="F581" s="727">
        <f t="shared" si="31"/>
        <v>4342884.75</v>
      </c>
      <c r="G581" s="785">
        <f t="shared" si="32"/>
        <v>2029598.7012337474</v>
      </c>
      <c r="H581" s="786">
        <f t="shared" si="33"/>
        <v>2029598.7012337474</v>
      </c>
      <c r="I581" s="783">
        <f t="shared" si="34"/>
        <v>0</v>
      </c>
      <c r="J581" s="783"/>
      <c r="K581" s="803"/>
      <c r="L581" s="787"/>
      <c r="M581" s="803"/>
      <c r="N581" s="787"/>
      <c r="O581" s="787"/>
    </row>
    <row r="582" spans="3:15">
      <c r="C582" s="779">
        <f>IF(D542="","-",+C581+1)</f>
        <v>2050</v>
      </c>
      <c r="D582" s="727">
        <f t="shared" si="30"/>
        <v>4342884.75</v>
      </c>
      <c r="E582" s="780">
        <f t="shared" si="35"/>
        <v>1447628.25</v>
      </c>
      <c r="F582" s="727">
        <f t="shared" si="31"/>
        <v>2895256.5</v>
      </c>
      <c r="G582" s="785">
        <f t="shared" si="32"/>
        <v>1863321.4294526768</v>
      </c>
      <c r="H582" s="786">
        <f t="shared" si="33"/>
        <v>1863321.4294526768</v>
      </c>
      <c r="I582" s="783">
        <f t="shared" si="34"/>
        <v>0</v>
      </c>
      <c r="J582" s="783"/>
      <c r="K582" s="803"/>
      <c r="L582" s="787"/>
      <c r="M582" s="803"/>
      <c r="N582" s="787"/>
      <c r="O582" s="787"/>
    </row>
    <row r="583" spans="3:15">
      <c r="C583" s="779">
        <f>IF(D542="","-",+C582+1)</f>
        <v>2051</v>
      </c>
      <c r="D583" s="727">
        <f t="shared" si="30"/>
        <v>2895256.5</v>
      </c>
      <c r="E583" s="780">
        <f t="shared" si="35"/>
        <v>1447628.25</v>
      </c>
      <c r="F583" s="727">
        <f t="shared" si="31"/>
        <v>1447628.25</v>
      </c>
      <c r="G583" s="785">
        <f t="shared" si="32"/>
        <v>1697044.1576716062</v>
      </c>
      <c r="H583" s="786">
        <f t="shared" si="33"/>
        <v>1697044.1576716062</v>
      </c>
      <c r="I583" s="783">
        <f t="shared" si="34"/>
        <v>0</v>
      </c>
      <c r="J583" s="783"/>
      <c r="K583" s="803"/>
      <c r="L583" s="787"/>
      <c r="M583" s="803"/>
      <c r="N583" s="787"/>
      <c r="O583" s="787"/>
    </row>
    <row r="584" spans="3:15">
      <c r="C584" s="779">
        <f>IF(D542="","-",+C583+1)</f>
        <v>2052</v>
      </c>
      <c r="D584" s="727">
        <f t="shared" si="30"/>
        <v>1447628.25</v>
      </c>
      <c r="E584" s="780">
        <f t="shared" si="35"/>
        <v>1447628.25</v>
      </c>
      <c r="F584" s="727">
        <f t="shared" si="31"/>
        <v>0</v>
      </c>
      <c r="G584" s="785">
        <f t="shared" si="32"/>
        <v>1530766.8858905353</v>
      </c>
      <c r="H584" s="786">
        <f t="shared" si="33"/>
        <v>1530766.8858905353</v>
      </c>
      <c r="I584" s="783">
        <f t="shared" si="34"/>
        <v>0</v>
      </c>
      <c r="J584" s="783"/>
      <c r="K584" s="803"/>
      <c r="L584" s="787"/>
      <c r="M584" s="803"/>
      <c r="N584" s="787"/>
      <c r="O584" s="787"/>
    </row>
    <row r="585" spans="3:15">
      <c r="C585" s="779">
        <f>IF(D542="","-",+C584+1)</f>
        <v>2053</v>
      </c>
      <c r="D585" s="727">
        <f t="shared" si="30"/>
        <v>0</v>
      </c>
      <c r="E585" s="780">
        <f t="shared" si="35"/>
        <v>0</v>
      </c>
      <c r="F585" s="727">
        <f t="shared" si="31"/>
        <v>0</v>
      </c>
      <c r="G585" s="785">
        <f t="shared" si="32"/>
        <v>0</v>
      </c>
      <c r="H585" s="786">
        <f t="shared" si="33"/>
        <v>0</v>
      </c>
      <c r="I585" s="783">
        <f t="shared" si="34"/>
        <v>0</v>
      </c>
      <c r="J585" s="783"/>
      <c r="K585" s="803"/>
      <c r="L585" s="787"/>
      <c r="M585" s="803"/>
      <c r="N585" s="787"/>
      <c r="O585" s="787"/>
    </row>
    <row r="586" spans="3:15">
      <c r="C586" s="779">
        <f>IF(D542="","-",+C585+1)</f>
        <v>2054</v>
      </c>
      <c r="D586" s="727">
        <f t="shared" si="30"/>
        <v>0</v>
      </c>
      <c r="E586" s="780">
        <f t="shared" si="35"/>
        <v>0</v>
      </c>
      <c r="F586" s="727">
        <f t="shared" si="31"/>
        <v>0</v>
      </c>
      <c r="G586" s="785">
        <f t="shared" si="32"/>
        <v>0</v>
      </c>
      <c r="H586" s="786">
        <f t="shared" si="33"/>
        <v>0</v>
      </c>
      <c r="I586" s="783">
        <f t="shared" si="34"/>
        <v>0</v>
      </c>
      <c r="J586" s="783"/>
      <c r="K586" s="803"/>
      <c r="L586" s="787"/>
      <c r="M586" s="803"/>
      <c r="N586" s="787"/>
      <c r="O586" s="787"/>
    </row>
    <row r="587" spans="3:15">
      <c r="C587" s="779">
        <f>IF(D542="","-",+C586+1)</f>
        <v>2055</v>
      </c>
      <c r="D587" s="727">
        <f t="shared" si="30"/>
        <v>0</v>
      </c>
      <c r="E587" s="780">
        <f t="shared" si="35"/>
        <v>0</v>
      </c>
      <c r="F587" s="727">
        <f t="shared" si="31"/>
        <v>0</v>
      </c>
      <c r="G587" s="785">
        <f t="shared" si="32"/>
        <v>0</v>
      </c>
      <c r="H587" s="786">
        <f t="shared" si="33"/>
        <v>0</v>
      </c>
      <c r="I587" s="783">
        <f t="shared" si="34"/>
        <v>0</v>
      </c>
      <c r="J587" s="783"/>
      <c r="K587" s="803"/>
      <c r="L587" s="787"/>
      <c r="M587" s="803"/>
      <c r="N587" s="787"/>
      <c r="O587" s="787"/>
    </row>
    <row r="588" spans="3:15">
      <c r="C588" s="779">
        <f>IF(D542="","-",+C587+1)</f>
        <v>2056</v>
      </c>
      <c r="D588" s="727">
        <f t="shared" si="30"/>
        <v>0</v>
      </c>
      <c r="E588" s="780">
        <f t="shared" si="35"/>
        <v>0</v>
      </c>
      <c r="F588" s="727">
        <f t="shared" si="31"/>
        <v>0</v>
      </c>
      <c r="G588" s="785">
        <f t="shared" si="32"/>
        <v>0</v>
      </c>
      <c r="H588" s="786">
        <f t="shared" si="33"/>
        <v>0</v>
      </c>
      <c r="I588" s="783">
        <f t="shared" si="34"/>
        <v>0</v>
      </c>
      <c r="J588" s="783"/>
      <c r="K588" s="803"/>
      <c r="L588" s="787"/>
      <c r="M588" s="803"/>
      <c r="N588" s="787"/>
      <c r="O588" s="787"/>
    </row>
    <row r="589" spans="3:15">
      <c r="C589" s="779">
        <f>IF(D542="","-",+C588+1)</f>
        <v>2057</v>
      </c>
      <c r="D589" s="727">
        <f t="shared" si="30"/>
        <v>0</v>
      </c>
      <c r="E589" s="780">
        <f t="shared" si="35"/>
        <v>0</v>
      </c>
      <c r="F589" s="727">
        <f t="shared" si="31"/>
        <v>0</v>
      </c>
      <c r="G589" s="785">
        <f t="shared" si="32"/>
        <v>0</v>
      </c>
      <c r="H589" s="786">
        <f t="shared" si="33"/>
        <v>0</v>
      </c>
      <c r="I589" s="783">
        <f t="shared" si="34"/>
        <v>0</v>
      </c>
      <c r="J589" s="783"/>
      <c r="K589" s="803"/>
      <c r="L589" s="787"/>
      <c r="M589" s="803"/>
      <c r="N589" s="787"/>
      <c r="O589" s="787"/>
    </row>
    <row r="590" spans="3:15">
      <c r="C590" s="779">
        <f>IF(D542="","-",+C589+1)</f>
        <v>2058</v>
      </c>
      <c r="D590" s="727">
        <f t="shared" si="30"/>
        <v>0</v>
      </c>
      <c r="E590" s="780">
        <f t="shared" si="35"/>
        <v>0</v>
      </c>
      <c r="F590" s="727">
        <f t="shared" si="31"/>
        <v>0</v>
      </c>
      <c r="G590" s="785">
        <f t="shared" si="32"/>
        <v>0</v>
      </c>
      <c r="H590" s="786">
        <f t="shared" si="33"/>
        <v>0</v>
      </c>
      <c r="I590" s="783">
        <f t="shared" si="34"/>
        <v>0</v>
      </c>
      <c r="J590" s="783"/>
      <c r="K590" s="803"/>
      <c r="L590" s="787"/>
      <c r="M590" s="803"/>
      <c r="N590" s="787"/>
      <c r="O590" s="787"/>
    </row>
    <row r="591" spans="3:15">
      <c r="C591" s="779">
        <f>IF(D542="","-",+C590+1)</f>
        <v>2059</v>
      </c>
      <c r="D591" s="727">
        <f t="shared" si="30"/>
        <v>0</v>
      </c>
      <c r="E591" s="780">
        <f t="shared" si="35"/>
        <v>0</v>
      </c>
      <c r="F591" s="727">
        <f t="shared" si="31"/>
        <v>0</v>
      </c>
      <c r="G591" s="785">
        <f t="shared" si="32"/>
        <v>0</v>
      </c>
      <c r="H591" s="786">
        <f t="shared" si="33"/>
        <v>0</v>
      </c>
      <c r="I591" s="783">
        <f t="shared" si="34"/>
        <v>0</v>
      </c>
      <c r="J591" s="783"/>
      <c r="K591" s="803"/>
      <c r="L591" s="787"/>
      <c r="M591" s="803"/>
      <c r="N591" s="787"/>
      <c r="O591" s="787"/>
    </row>
    <row r="592" spans="3:15">
      <c r="C592" s="779">
        <f>IF(D542="","-",+C591+1)</f>
        <v>2060</v>
      </c>
      <c r="D592" s="727">
        <f t="shared" si="30"/>
        <v>0</v>
      </c>
      <c r="E592" s="780">
        <f t="shared" si="35"/>
        <v>0</v>
      </c>
      <c r="F592" s="727">
        <f t="shared" si="31"/>
        <v>0</v>
      </c>
      <c r="G592" s="785">
        <f t="shared" si="32"/>
        <v>0</v>
      </c>
      <c r="H592" s="786">
        <f t="shared" si="33"/>
        <v>0</v>
      </c>
      <c r="I592" s="783">
        <f t="shared" si="34"/>
        <v>0</v>
      </c>
      <c r="J592" s="783"/>
      <c r="K592" s="803"/>
      <c r="L592" s="787"/>
      <c r="M592" s="803"/>
      <c r="N592" s="787"/>
      <c r="O592" s="787"/>
    </row>
    <row r="593" spans="3:15">
      <c r="C593" s="779">
        <f>IF(D542="","-",+C592+1)</f>
        <v>2061</v>
      </c>
      <c r="D593" s="727">
        <f t="shared" si="30"/>
        <v>0</v>
      </c>
      <c r="E593" s="780">
        <f t="shared" si="35"/>
        <v>0</v>
      </c>
      <c r="F593" s="727">
        <f t="shared" si="31"/>
        <v>0</v>
      </c>
      <c r="G593" s="785">
        <f t="shared" si="32"/>
        <v>0</v>
      </c>
      <c r="H593" s="786">
        <f t="shared" si="33"/>
        <v>0</v>
      </c>
      <c r="I593" s="783">
        <f t="shared" si="34"/>
        <v>0</v>
      </c>
      <c r="J593" s="783"/>
      <c r="K593" s="803"/>
      <c r="L593" s="787"/>
      <c r="M593" s="803"/>
      <c r="N593" s="787"/>
      <c r="O593" s="787"/>
    </row>
    <row r="594" spans="3:15">
      <c r="C594" s="779">
        <f>IF(D542="","-",+C593+1)</f>
        <v>2062</v>
      </c>
      <c r="D594" s="727">
        <f t="shared" si="30"/>
        <v>0</v>
      </c>
      <c r="E594" s="780">
        <f t="shared" si="35"/>
        <v>0</v>
      </c>
      <c r="F594" s="727">
        <f t="shared" si="31"/>
        <v>0</v>
      </c>
      <c r="G594" s="785">
        <f t="shared" si="32"/>
        <v>0</v>
      </c>
      <c r="H594" s="786">
        <f t="shared" si="33"/>
        <v>0</v>
      </c>
      <c r="I594" s="783">
        <f t="shared" si="34"/>
        <v>0</v>
      </c>
      <c r="J594" s="783"/>
      <c r="K594" s="803"/>
      <c r="L594" s="787"/>
      <c r="M594" s="803"/>
      <c r="N594" s="787"/>
      <c r="O594" s="787"/>
    </row>
    <row r="595" spans="3:15">
      <c r="C595" s="779">
        <f>IF(D542="","-",+C594+1)</f>
        <v>2063</v>
      </c>
      <c r="D595" s="727">
        <f t="shared" si="30"/>
        <v>0</v>
      </c>
      <c r="E595" s="780">
        <f t="shared" si="35"/>
        <v>0</v>
      </c>
      <c r="F595" s="727">
        <f t="shared" si="31"/>
        <v>0</v>
      </c>
      <c r="G595" s="785">
        <f t="shared" si="32"/>
        <v>0</v>
      </c>
      <c r="H595" s="786">
        <f t="shared" si="33"/>
        <v>0</v>
      </c>
      <c r="I595" s="783">
        <f t="shared" si="34"/>
        <v>0</v>
      </c>
      <c r="J595" s="783"/>
      <c r="K595" s="803"/>
      <c r="L595" s="787"/>
      <c r="M595" s="803"/>
      <c r="N595" s="787"/>
      <c r="O595" s="787"/>
    </row>
    <row r="596" spans="3:15">
      <c r="C596" s="779">
        <f>IF(D542="","-",+C595+1)</f>
        <v>2064</v>
      </c>
      <c r="D596" s="727">
        <f t="shared" si="30"/>
        <v>0</v>
      </c>
      <c r="E596" s="780">
        <f t="shared" si="35"/>
        <v>0</v>
      </c>
      <c r="F596" s="727">
        <f t="shared" si="31"/>
        <v>0</v>
      </c>
      <c r="G596" s="785">
        <f t="shared" si="32"/>
        <v>0</v>
      </c>
      <c r="H596" s="786">
        <f t="shared" si="33"/>
        <v>0</v>
      </c>
      <c r="I596" s="783">
        <f t="shared" si="34"/>
        <v>0</v>
      </c>
      <c r="J596" s="783"/>
      <c r="K596" s="803"/>
      <c r="L596" s="787"/>
      <c r="M596" s="803"/>
      <c r="N596" s="787"/>
      <c r="O596" s="787"/>
    </row>
    <row r="597" spans="3:15">
      <c r="C597" s="779">
        <f>IF(D542="","-",+C596+1)</f>
        <v>2065</v>
      </c>
      <c r="D597" s="727">
        <f t="shared" si="30"/>
        <v>0</v>
      </c>
      <c r="E597" s="780">
        <f t="shared" si="35"/>
        <v>0</v>
      </c>
      <c r="F597" s="727">
        <f t="shared" si="31"/>
        <v>0</v>
      </c>
      <c r="G597" s="785">
        <f t="shared" si="32"/>
        <v>0</v>
      </c>
      <c r="H597" s="786">
        <f t="shared" si="33"/>
        <v>0</v>
      </c>
      <c r="I597" s="783">
        <f t="shared" si="34"/>
        <v>0</v>
      </c>
      <c r="J597" s="783"/>
      <c r="K597" s="803"/>
      <c r="L597" s="787"/>
      <c r="M597" s="803"/>
      <c r="N597" s="787"/>
      <c r="O597" s="787"/>
    </row>
    <row r="598" spans="3:15">
      <c r="C598" s="779">
        <f>IF(D542="","-",+C597+1)</f>
        <v>2066</v>
      </c>
      <c r="D598" s="727">
        <f t="shared" si="30"/>
        <v>0</v>
      </c>
      <c r="E598" s="780">
        <f t="shared" si="35"/>
        <v>0</v>
      </c>
      <c r="F598" s="727">
        <f t="shared" si="31"/>
        <v>0</v>
      </c>
      <c r="G598" s="785">
        <f t="shared" si="32"/>
        <v>0</v>
      </c>
      <c r="H598" s="786">
        <f t="shared" si="33"/>
        <v>0</v>
      </c>
      <c r="I598" s="783">
        <f t="shared" si="34"/>
        <v>0</v>
      </c>
      <c r="J598" s="783"/>
      <c r="K598" s="803"/>
      <c r="L598" s="787"/>
      <c r="M598" s="803"/>
      <c r="N598" s="787"/>
      <c r="O598" s="787"/>
    </row>
    <row r="599" spans="3:15">
      <c r="C599" s="779">
        <f>IF(D542="","-",+C598+1)</f>
        <v>2067</v>
      </c>
      <c r="D599" s="727">
        <f t="shared" si="30"/>
        <v>0</v>
      </c>
      <c r="E599" s="780">
        <f t="shared" si="35"/>
        <v>0</v>
      </c>
      <c r="F599" s="727">
        <f t="shared" si="31"/>
        <v>0</v>
      </c>
      <c r="G599" s="785">
        <f t="shared" si="32"/>
        <v>0</v>
      </c>
      <c r="H599" s="786">
        <f t="shared" si="33"/>
        <v>0</v>
      </c>
      <c r="I599" s="783">
        <f t="shared" si="34"/>
        <v>0</v>
      </c>
      <c r="J599" s="783"/>
      <c r="K599" s="803"/>
      <c r="L599" s="787"/>
      <c r="M599" s="803"/>
      <c r="N599" s="787"/>
      <c r="O599" s="787"/>
    </row>
    <row r="600" spans="3:15">
      <c r="C600" s="779">
        <f>IF(D542="","-",+C599+1)</f>
        <v>2068</v>
      </c>
      <c r="D600" s="727">
        <f t="shared" si="30"/>
        <v>0</v>
      </c>
      <c r="E600" s="780">
        <f t="shared" si="35"/>
        <v>0</v>
      </c>
      <c r="F600" s="727">
        <f t="shared" si="31"/>
        <v>0</v>
      </c>
      <c r="G600" s="785">
        <f t="shared" si="32"/>
        <v>0</v>
      </c>
      <c r="H600" s="786">
        <f t="shared" si="33"/>
        <v>0</v>
      </c>
      <c r="I600" s="783">
        <f t="shared" si="34"/>
        <v>0</v>
      </c>
      <c r="J600" s="783"/>
      <c r="K600" s="803"/>
      <c r="L600" s="787"/>
      <c r="M600" s="803"/>
      <c r="N600" s="787"/>
      <c r="O600" s="787"/>
    </row>
    <row r="601" spans="3:15">
      <c r="C601" s="779">
        <f>IF(D542="","-",+C600+1)</f>
        <v>2069</v>
      </c>
      <c r="D601" s="727">
        <f t="shared" si="30"/>
        <v>0</v>
      </c>
      <c r="E601" s="780">
        <f t="shared" si="35"/>
        <v>0</v>
      </c>
      <c r="F601" s="727">
        <f t="shared" si="31"/>
        <v>0</v>
      </c>
      <c r="G601" s="785">
        <f t="shared" si="32"/>
        <v>0</v>
      </c>
      <c r="H601" s="786">
        <f t="shared" si="33"/>
        <v>0</v>
      </c>
      <c r="I601" s="783">
        <f t="shared" si="34"/>
        <v>0</v>
      </c>
      <c r="J601" s="783"/>
      <c r="K601" s="803"/>
      <c r="L601" s="787"/>
      <c r="M601" s="803"/>
      <c r="N601" s="787"/>
      <c r="O601" s="787"/>
    </row>
    <row r="602" spans="3:15">
      <c r="C602" s="779">
        <f>IF(D542="","-",+C601+1)</f>
        <v>2070</v>
      </c>
      <c r="D602" s="727">
        <f t="shared" si="30"/>
        <v>0</v>
      </c>
      <c r="E602" s="780">
        <f t="shared" si="35"/>
        <v>0</v>
      </c>
      <c r="F602" s="727">
        <f t="shared" si="31"/>
        <v>0</v>
      </c>
      <c r="G602" s="785">
        <f t="shared" si="32"/>
        <v>0</v>
      </c>
      <c r="H602" s="786">
        <f t="shared" si="33"/>
        <v>0</v>
      </c>
      <c r="I602" s="783">
        <f t="shared" si="34"/>
        <v>0</v>
      </c>
      <c r="J602" s="783"/>
      <c r="K602" s="803"/>
      <c r="L602" s="787"/>
      <c r="M602" s="803"/>
      <c r="N602" s="787"/>
      <c r="O602" s="787"/>
    </row>
    <row r="603" spans="3:15">
      <c r="C603" s="779">
        <f>IF(D542="","-",+C602+1)</f>
        <v>2071</v>
      </c>
      <c r="D603" s="727">
        <f t="shared" si="30"/>
        <v>0</v>
      </c>
      <c r="E603" s="780">
        <f t="shared" si="35"/>
        <v>0</v>
      </c>
      <c r="F603" s="727">
        <f t="shared" si="31"/>
        <v>0</v>
      </c>
      <c r="G603" s="785">
        <f t="shared" si="32"/>
        <v>0</v>
      </c>
      <c r="H603" s="786">
        <f t="shared" si="33"/>
        <v>0</v>
      </c>
      <c r="I603" s="783">
        <f t="shared" si="34"/>
        <v>0</v>
      </c>
      <c r="J603" s="783"/>
      <c r="K603" s="803"/>
      <c r="L603" s="787"/>
      <c r="M603" s="803"/>
      <c r="N603" s="787"/>
      <c r="O603" s="787"/>
    </row>
    <row r="604" spans="3:15">
      <c r="C604" s="779">
        <f>IF(D542="","-",+C603+1)</f>
        <v>2072</v>
      </c>
      <c r="D604" s="727">
        <f t="shared" si="30"/>
        <v>0</v>
      </c>
      <c r="E604" s="780">
        <f t="shared" si="35"/>
        <v>0</v>
      </c>
      <c r="F604" s="727">
        <f t="shared" si="31"/>
        <v>0</v>
      </c>
      <c r="G604" s="785">
        <f t="shared" si="32"/>
        <v>0</v>
      </c>
      <c r="H604" s="786">
        <f t="shared" si="33"/>
        <v>0</v>
      </c>
      <c r="I604" s="783">
        <f t="shared" si="34"/>
        <v>0</v>
      </c>
      <c r="J604" s="783"/>
      <c r="K604" s="803"/>
      <c r="L604" s="787"/>
      <c r="M604" s="803"/>
      <c r="N604" s="787"/>
      <c r="O604" s="787"/>
    </row>
    <row r="605" spans="3:15">
      <c r="C605" s="779">
        <f>IF(D542="","-",+C604+1)</f>
        <v>2073</v>
      </c>
      <c r="D605" s="727">
        <f t="shared" si="30"/>
        <v>0</v>
      </c>
      <c r="E605" s="780">
        <f t="shared" si="35"/>
        <v>0</v>
      </c>
      <c r="F605" s="727">
        <f t="shared" si="31"/>
        <v>0</v>
      </c>
      <c r="G605" s="785">
        <f t="shared" si="32"/>
        <v>0</v>
      </c>
      <c r="H605" s="786">
        <f t="shared" si="33"/>
        <v>0</v>
      </c>
      <c r="I605" s="783">
        <f t="shared" si="34"/>
        <v>0</v>
      </c>
      <c r="J605" s="783"/>
      <c r="K605" s="803"/>
      <c r="L605" s="787"/>
      <c r="M605" s="803"/>
      <c r="N605" s="787"/>
      <c r="O605" s="787"/>
    </row>
    <row r="606" spans="3:15">
      <c r="C606" s="779">
        <f>IF(D542="","-",+C605+1)</f>
        <v>2074</v>
      </c>
      <c r="D606" s="727">
        <f t="shared" si="30"/>
        <v>0</v>
      </c>
      <c r="E606" s="780">
        <f t="shared" si="35"/>
        <v>0</v>
      </c>
      <c r="F606" s="727">
        <f t="shared" si="31"/>
        <v>0</v>
      </c>
      <c r="G606" s="785">
        <f t="shared" si="32"/>
        <v>0</v>
      </c>
      <c r="H606" s="786">
        <f t="shared" si="33"/>
        <v>0</v>
      </c>
      <c r="I606" s="783">
        <f t="shared" si="34"/>
        <v>0</v>
      </c>
      <c r="J606" s="783"/>
      <c r="K606" s="803"/>
      <c r="L606" s="787"/>
      <c r="M606" s="803"/>
      <c r="N606" s="787"/>
      <c r="O606" s="787"/>
    </row>
    <row r="607" spans="3:15" ht="13.5" thickBot="1">
      <c r="C607" s="789">
        <f>IF(D542="","-",+C606+1)</f>
        <v>2075</v>
      </c>
      <c r="D607" s="790">
        <f t="shared" si="30"/>
        <v>0</v>
      </c>
      <c r="E607" s="791">
        <f t="shared" si="35"/>
        <v>0</v>
      </c>
      <c r="F607" s="790">
        <f t="shared" si="31"/>
        <v>0</v>
      </c>
      <c r="G607" s="792">
        <f t="shared" si="32"/>
        <v>0</v>
      </c>
      <c r="H607" s="792">
        <f t="shared" si="33"/>
        <v>0</v>
      </c>
      <c r="I607" s="793">
        <f t="shared" si="34"/>
        <v>0</v>
      </c>
      <c r="J607" s="783"/>
      <c r="K607" s="804"/>
      <c r="L607" s="794"/>
      <c r="M607" s="804"/>
      <c r="N607" s="794"/>
      <c r="O607" s="794"/>
    </row>
    <row r="608" spans="3:15">
      <c r="C608" s="727" t="s">
        <v>93</v>
      </c>
      <c r="D608" s="721"/>
      <c r="E608" s="721">
        <f>SUM(E548:E607)</f>
        <v>52114617</v>
      </c>
      <c r="F608" s="721"/>
      <c r="G608" s="721">
        <f>SUM(G548:G607)</f>
        <v>165848270.8982524</v>
      </c>
      <c r="H608" s="721">
        <f>SUM(H548:H607)</f>
        <v>165848270.8982524</v>
      </c>
      <c r="I608" s="721">
        <f>SUM(I548:I607)</f>
        <v>0</v>
      </c>
      <c r="J608" s="721"/>
      <c r="K608" s="721"/>
      <c r="L608" s="721"/>
      <c r="M608" s="721"/>
      <c r="N608" s="721"/>
      <c r="O608" s="308"/>
    </row>
    <row r="609" spans="1:16">
      <c r="D609" s="529"/>
      <c r="E609" s="308"/>
      <c r="F609" s="308"/>
      <c r="G609" s="308"/>
      <c r="H609" s="699"/>
      <c r="I609" s="699"/>
      <c r="J609" s="721"/>
      <c r="K609" s="699"/>
      <c r="L609" s="699"/>
      <c r="M609" s="699"/>
      <c r="N609" s="699"/>
      <c r="O609" s="308"/>
    </row>
    <row r="610" spans="1:16">
      <c r="C610" s="308" t="s">
        <v>15</v>
      </c>
      <c r="D610" s="529"/>
      <c r="E610" s="308"/>
      <c r="F610" s="308"/>
      <c r="G610" s="308"/>
      <c r="H610" s="699"/>
      <c r="I610" s="699"/>
      <c r="J610" s="721"/>
      <c r="K610" s="699"/>
      <c r="L610" s="699"/>
      <c r="M610" s="699"/>
      <c r="N610" s="699"/>
      <c r="O610" s="308"/>
    </row>
    <row r="611" spans="1:16">
      <c r="C611" s="308"/>
      <c r="D611" s="529"/>
      <c r="E611" s="308"/>
      <c r="F611" s="308"/>
      <c r="G611" s="308"/>
      <c r="H611" s="699"/>
      <c r="I611" s="699"/>
      <c r="J611" s="721"/>
      <c r="K611" s="699"/>
      <c r="L611" s="699"/>
      <c r="M611" s="699"/>
      <c r="N611" s="699"/>
      <c r="O611" s="308"/>
    </row>
    <row r="612" spans="1:16">
      <c r="C612" s="740" t="s">
        <v>16</v>
      </c>
      <c r="D612" s="727"/>
      <c r="E612" s="727"/>
      <c r="F612" s="727"/>
      <c r="G612" s="721"/>
      <c r="H612" s="721"/>
      <c r="I612" s="795"/>
      <c r="J612" s="795"/>
      <c r="K612" s="795"/>
      <c r="L612" s="795"/>
      <c r="M612" s="795"/>
      <c r="N612" s="795"/>
      <c r="O612" s="308"/>
    </row>
    <row r="613" spans="1:16">
      <c r="C613" s="726" t="s">
        <v>273</v>
      </c>
      <c r="D613" s="727"/>
      <c r="E613" s="727"/>
      <c r="F613" s="727"/>
      <c r="G613" s="721"/>
      <c r="H613" s="721"/>
      <c r="I613" s="795"/>
      <c r="J613" s="795"/>
      <c r="K613" s="795"/>
      <c r="L613" s="795"/>
      <c r="M613" s="795"/>
      <c r="N613" s="795"/>
      <c r="O613" s="308"/>
    </row>
    <row r="614" spans="1:16">
      <c r="C614" s="726" t="s">
        <v>94</v>
      </c>
      <c r="D614" s="727"/>
      <c r="E614" s="727"/>
      <c r="F614" s="727"/>
      <c r="G614" s="721"/>
      <c r="H614" s="721"/>
      <c r="I614" s="795"/>
      <c r="J614" s="795"/>
      <c r="K614" s="795"/>
      <c r="L614" s="795"/>
      <c r="M614" s="795"/>
      <c r="N614" s="795"/>
      <c r="O614" s="308"/>
    </row>
    <row r="615" spans="1:16">
      <c r="C615" s="726"/>
      <c r="D615" s="727"/>
      <c r="E615" s="727"/>
      <c r="F615" s="727"/>
      <c r="G615" s="721"/>
      <c r="H615" s="721"/>
      <c r="I615" s="795"/>
      <c r="J615" s="795"/>
      <c r="K615" s="795"/>
      <c r="L615" s="795"/>
      <c r="M615" s="795"/>
      <c r="N615" s="795"/>
      <c r="O615" s="308"/>
    </row>
    <row r="616" spans="1:16">
      <c r="C616" s="1552" t="s">
        <v>8</v>
      </c>
      <c r="D616" s="1552"/>
      <c r="E616" s="1552"/>
      <c r="F616" s="1552"/>
      <c r="G616" s="1552"/>
      <c r="H616" s="1552"/>
      <c r="I616" s="1552"/>
      <c r="J616" s="1552"/>
      <c r="K616" s="1552"/>
      <c r="L616" s="1552"/>
      <c r="M616" s="1552"/>
      <c r="N616" s="1552"/>
      <c r="O616" s="1552"/>
    </row>
    <row r="617" spans="1:16">
      <c r="C617" s="1552"/>
      <c r="D617" s="1552"/>
      <c r="E617" s="1552"/>
      <c r="F617" s="1552"/>
      <c r="G617" s="1552"/>
      <c r="H617" s="1552"/>
      <c r="I617" s="1552"/>
      <c r="J617" s="1552"/>
      <c r="K617" s="1552"/>
      <c r="L617" s="1552"/>
      <c r="M617" s="1552"/>
      <c r="N617" s="1552"/>
      <c r="O617" s="1552"/>
    </row>
    <row r="618" spans="1:16" ht="20.25">
      <c r="A618" s="728" t="str">
        <f>""&amp;A542&amp;" Worksheet J -  ATRR PROJECTED Calculation for PJM Projects Charged to Benefiting Zones"</f>
        <v xml:space="preserve"> Worksheet J -  ATRR PROJECTED Calculation for PJM Projects Charged to Benefiting Zones</v>
      </c>
      <c r="B618" s="341"/>
      <c r="C618" s="716"/>
      <c r="D618" s="529"/>
      <c r="E618" s="308"/>
      <c r="F618" s="698"/>
      <c r="G618" s="308"/>
      <c r="H618" s="699"/>
      <c r="K618" s="555"/>
      <c r="L618" s="555"/>
      <c r="M618" s="555"/>
      <c r="N618" s="644" t="str">
        <f>"Page "&amp;SUM(P$8:P618)&amp;" of "</f>
        <v xml:space="preserve">Page 8 of </v>
      </c>
      <c r="O618" s="645">
        <f>COUNT(P$8:P$56656)</f>
        <v>11</v>
      </c>
      <c r="P618" s="172">
        <v>1</v>
      </c>
    </row>
    <row r="619" spans="1:16" ht="20.25">
      <c r="A619" s="728"/>
      <c r="B619" s="341"/>
      <c r="C619" s="716"/>
      <c r="D619" s="529"/>
      <c r="E619" s="308"/>
      <c r="F619" s="698"/>
      <c r="G619" s="308"/>
      <c r="H619" s="699"/>
      <c r="K619" s="555"/>
      <c r="L619" s="555"/>
      <c r="M619" s="555"/>
      <c r="N619" s="644"/>
      <c r="O619" s="645"/>
    </row>
    <row r="620" spans="1:16" ht="18">
      <c r="B620" s="648" t="s">
        <v>474</v>
      </c>
      <c r="C620" s="730" t="s">
        <v>95</v>
      </c>
      <c r="D620" s="529"/>
      <c r="E620" s="308"/>
      <c r="F620" s="308"/>
      <c r="G620" s="308"/>
      <c r="H620" s="699"/>
      <c r="I620" s="699"/>
      <c r="J620" s="721"/>
      <c r="K620" s="699"/>
      <c r="L620" s="699"/>
      <c r="M620" s="699"/>
      <c r="N620" s="699"/>
      <c r="O620" s="308"/>
    </row>
    <row r="621" spans="1:16" ht="18.75">
      <c r="B621" s="648"/>
      <c r="C621" s="647"/>
      <c r="D621" s="529"/>
      <c r="E621" s="308"/>
      <c r="F621" s="308"/>
      <c r="G621" s="308"/>
      <c r="H621" s="699"/>
      <c r="I621" s="699"/>
      <c r="J621" s="721"/>
      <c r="K621" s="699"/>
      <c r="L621" s="699"/>
      <c r="M621" s="699"/>
      <c r="N621" s="699"/>
      <c r="O621" s="308"/>
    </row>
    <row r="622" spans="1:16" ht="18.75">
      <c r="B622" s="648"/>
      <c r="C622" s="647" t="s">
        <v>96</v>
      </c>
      <c r="D622" s="529"/>
      <c r="E622" s="308"/>
      <c r="F622" s="308"/>
      <c r="G622" s="308"/>
      <c r="H622" s="699"/>
      <c r="I622" s="699"/>
      <c r="J622" s="721"/>
      <c r="K622" s="699"/>
      <c r="L622" s="699"/>
      <c r="M622" s="699"/>
      <c r="N622" s="699"/>
      <c r="O622" s="308"/>
    </row>
    <row r="623" spans="1:16" ht="15.75" thickBot="1">
      <c r="C623" s="239"/>
      <c r="D623" s="529"/>
      <c r="E623" s="308"/>
      <c r="F623" s="308"/>
      <c r="G623" s="308"/>
      <c r="H623" s="699"/>
      <c r="I623" s="699"/>
      <c r="J623" s="721"/>
      <c r="K623" s="699"/>
      <c r="L623" s="699"/>
      <c r="M623" s="699"/>
      <c r="N623" s="699"/>
      <c r="O623" s="308"/>
    </row>
    <row r="624" spans="1:16" ht="15.75">
      <c r="C624" s="650" t="s">
        <v>97</v>
      </c>
      <c r="D624" s="529"/>
      <c r="E624" s="308"/>
      <c r="F624" s="308"/>
      <c r="G624" s="797"/>
      <c r="H624" s="308" t="s">
        <v>76</v>
      </c>
      <c r="I624" s="308"/>
      <c r="J624" s="418"/>
      <c r="K624" s="731" t="s">
        <v>101</v>
      </c>
      <c r="L624" s="732"/>
      <c r="M624" s="733"/>
      <c r="N624" s="734">
        <f>IF(I630=0,0,VLOOKUP(I630,C637:O696,5))</f>
        <v>6275516.7725136327</v>
      </c>
      <c r="O624" s="308"/>
    </row>
    <row r="625" spans="2:15" ht="15.75">
      <c r="C625" s="650"/>
      <c r="D625" s="529"/>
      <c r="E625" s="308"/>
      <c r="F625" s="308"/>
      <c r="G625" s="308"/>
      <c r="H625" s="735"/>
      <c r="I625" s="735"/>
      <c r="J625" s="736"/>
      <c r="K625" s="737" t="s">
        <v>102</v>
      </c>
      <c r="L625" s="738"/>
      <c r="M625" s="418"/>
      <c r="N625" s="739">
        <f>IF(I630=0,0,VLOOKUP(I630,C637:O696,6))</f>
        <v>6275516.7725136327</v>
      </c>
      <c r="O625" s="308"/>
    </row>
    <row r="626" spans="2:15" ht="13.5" thickBot="1">
      <c r="C626" s="740" t="s">
        <v>98</v>
      </c>
      <c r="D626" s="1553" t="s">
        <v>823</v>
      </c>
      <c r="E626" s="1553"/>
      <c r="F626" s="1553"/>
      <c r="G626" s="1553"/>
      <c r="H626" s="1553"/>
      <c r="I626" s="1553"/>
      <c r="J626" s="721"/>
      <c r="K626" s="741" t="s">
        <v>240</v>
      </c>
      <c r="L626" s="742"/>
      <c r="M626" s="742"/>
      <c r="N626" s="743">
        <f>+N625-N624</f>
        <v>0</v>
      </c>
      <c r="O626" s="308"/>
    </row>
    <row r="627" spans="2:15">
      <c r="C627" s="744"/>
      <c r="D627" s="1553"/>
      <c r="E627" s="1553"/>
      <c r="F627" s="1553"/>
      <c r="G627" s="1553"/>
      <c r="H627" s="1553"/>
      <c r="I627" s="1553"/>
      <c r="J627" s="721"/>
      <c r="K627" s="699"/>
      <c r="L627" s="699"/>
      <c r="M627" s="699"/>
      <c r="N627" s="699"/>
      <c r="O627" s="308"/>
    </row>
    <row r="628" spans="2:15" ht="13.5" thickBot="1">
      <c r="C628" s="747"/>
      <c r="D628" s="748"/>
      <c r="E628" s="746"/>
      <c r="F628" s="746"/>
      <c r="G628" s="746"/>
      <c r="H628" s="746"/>
      <c r="I628" s="746"/>
      <c r="J628" s="749"/>
      <c r="K628" s="746"/>
      <c r="L628" s="746"/>
      <c r="M628" s="746"/>
      <c r="N628" s="746"/>
      <c r="O628" s="341"/>
    </row>
    <row r="629" spans="2:15" ht="13.5" thickBot="1">
      <c r="C629" s="750" t="s">
        <v>99</v>
      </c>
      <c r="D629" s="751"/>
      <c r="E629" s="751"/>
      <c r="F629" s="751"/>
      <c r="G629" s="751"/>
      <c r="H629" s="751"/>
      <c r="I629" s="752"/>
      <c r="J629" s="753"/>
      <c r="K629" s="308"/>
      <c r="L629" s="308"/>
      <c r="M629" s="308"/>
      <c r="N629" s="308"/>
      <c r="O629" s="754"/>
    </row>
    <row r="630" spans="2:15" ht="15">
      <c r="C630" s="755" t="s">
        <v>77</v>
      </c>
      <c r="D630" s="799">
        <v>50167493</v>
      </c>
      <c r="E630" s="716" t="s">
        <v>78</v>
      </c>
      <c r="G630" s="756"/>
      <c r="H630" s="756"/>
      <c r="I630" s="757">
        <f>$L$26</f>
        <v>2022</v>
      </c>
      <c r="J630" s="545"/>
      <c r="K630" s="1554" t="s">
        <v>249</v>
      </c>
      <c r="L630" s="1554"/>
      <c r="M630" s="1554"/>
      <c r="N630" s="1554"/>
      <c r="O630" s="1554"/>
    </row>
    <row r="631" spans="2:15">
      <c r="C631" s="755" t="s">
        <v>80</v>
      </c>
      <c r="D631" s="800">
        <v>2016</v>
      </c>
      <c r="E631" s="755" t="s">
        <v>81</v>
      </c>
      <c r="F631" s="756"/>
      <c r="H631" s="172"/>
      <c r="I631" s="801">
        <f>IF(G624="",0,$F$17)</f>
        <v>0</v>
      </c>
      <c r="J631" s="758"/>
      <c r="K631" s="721" t="s">
        <v>249</v>
      </c>
    </row>
    <row r="632" spans="2:15">
      <c r="C632" s="755" t="s">
        <v>82</v>
      </c>
      <c r="D632" s="799">
        <v>12</v>
      </c>
      <c r="E632" s="755" t="s">
        <v>83</v>
      </c>
      <c r="F632" s="756"/>
      <c r="H632" s="172"/>
      <c r="I632" s="759">
        <f>$G$70</f>
        <v>0.11486185889303469</v>
      </c>
      <c r="J632" s="760"/>
      <c r="K632" s="172" t="str">
        <f>"          INPUT PROJECTED ARR (WITH &amp; WITHOUT INCENTIVES) FROM EACH PRIOR YEAR"</f>
        <v xml:space="preserve">          INPUT PROJECTED ARR (WITH &amp; WITHOUT INCENTIVES) FROM EACH PRIOR YEAR</v>
      </c>
    </row>
    <row r="633" spans="2:15">
      <c r="C633" s="755" t="s">
        <v>84</v>
      </c>
      <c r="D633" s="761">
        <f>$G$79</f>
        <v>36</v>
      </c>
      <c r="E633" s="755" t="s">
        <v>85</v>
      </c>
      <c r="F633" s="756"/>
      <c r="H633" s="172"/>
      <c r="I633" s="759">
        <f>IF(G624="",I632,$G$69)</f>
        <v>0.11486185889303469</v>
      </c>
      <c r="J633" s="762"/>
      <c r="K633" s="172" t="s">
        <v>162</v>
      </c>
    </row>
    <row r="634" spans="2:15" ht="13.5" thickBot="1">
      <c r="C634" s="755" t="s">
        <v>86</v>
      </c>
      <c r="D634" s="798" t="s">
        <v>814</v>
      </c>
      <c r="E634" s="763" t="s">
        <v>87</v>
      </c>
      <c r="F634" s="764"/>
      <c r="G634" s="765"/>
      <c r="H634" s="765"/>
      <c r="I634" s="743">
        <f>IF(D630=0,0,D630/D633)</f>
        <v>1393541.4722222222</v>
      </c>
      <c r="J634" s="721"/>
      <c r="K634" s="721" t="s">
        <v>168</v>
      </c>
      <c r="L634" s="721"/>
      <c r="M634" s="721"/>
      <c r="N634" s="721"/>
      <c r="O634" s="418"/>
    </row>
    <row r="635" spans="2:15" ht="51">
      <c r="B635" s="836"/>
      <c r="C635" s="766" t="s">
        <v>77</v>
      </c>
      <c r="D635" s="767" t="s">
        <v>88</v>
      </c>
      <c r="E635" s="768" t="s">
        <v>89</v>
      </c>
      <c r="F635" s="767" t="s">
        <v>90</v>
      </c>
      <c r="G635" s="768" t="s">
        <v>161</v>
      </c>
      <c r="H635" s="769" t="s">
        <v>161</v>
      </c>
      <c r="I635" s="766" t="s">
        <v>100</v>
      </c>
      <c r="J635" s="770"/>
      <c r="K635" s="768" t="s">
        <v>170</v>
      </c>
      <c r="L635" s="771"/>
      <c r="M635" s="768" t="s">
        <v>170</v>
      </c>
      <c r="N635" s="771"/>
      <c r="O635" s="771"/>
    </row>
    <row r="636" spans="2:15" ht="13.5" thickBot="1">
      <c r="C636" s="772" t="s">
        <v>477</v>
      </c>
      <c r="D636" s="773" t="s">
        <v>478</v>
      </c>
      <c r="E636" s="772" t="s">
        <v>371</v>
      </c>
      <c r="F636" s="773" t="s">
        <v>478</v>
      </c>
      <c r="G636" s="774" t="s">
        <v>103</v>
      </c>
      <c r="H636" s="775" t="s">
        <v>105</v>
      </c>
      <c r="I636" s="776" t="s">
        <v>17</v>
      </c>
      <c r="J636" s="777"/>
      <c r="K636" s="774" t="s">
        <v>92</v>
      </c>
      <c r="L636" s="778"/>
      <c r="M636" s="774" t="s">
        <v>105</v>
      </c>
      <c r="N636" s="778"/>
      <c r="O636" s="778"/>
    </row>
    <row r="637" spans="2:15">
      <c r="C637" s="779">
        <f>IF(D631= "","-",D631)</f>
        <v>2016</v>
      </c>
      <c r="D637" s="727">
        <f>+D630</f>
        <v>50167493</v>
      </c>
      <c r="E637" s="780">
        <f>+I634/12*(12-D632)</f>
        <v>0</v>
      </c>
      <c r="F637" s="727">
        <f>+D637-E637</f>
        <v>50167493</v>
      </c>
      <c r="G637" s="988">
        <f>+$I$96*((D637+F637)/2)+E637</f>
        <v>5762331.5019833054</v>
      </c>
      <c r="H637" s="989">
        <f>$I$97*((D637+F637)/2)+E637</f>
        <v>5762331.5019833054</v>
      </c>
      <c r="I637" s="783">
        <f>+H637-G637</f>
        <v>0</v>
      </c>
      <c r="J637" s="783"/>
      <c r="K637" s="802">
        <v>4514116</v>
      </c>
      <c r="L637" s="784"/>
      <c r="M637" s="802">
        <v>4514116</v>
      </c>
      <c r="N637" s="784"/>
      <c r="O637" s="784"/>
    </row>
    <row r="638" spans="2:15">
      <c r="C638" s="779">
        <f>IF(D631="","-",+C637+1)</f>
        <v>2017</v>
      </c>
      <c r="D638" s="727">
        <f t="shared" ref="D638:D696" si="36">F637</f>
        <v>50167493</v>
      </c>
      <c r="E638" s="780">
        <f>IF(D638&gt;$I$634,$I$634,D638)</f>
        <v>1393541.4722222222</v>
      </c>
      <c r="F638" s="727">
        <f t="shared" ref="F638:F696" si="37">+D638-E638</f>
        <v>48773951.527777776</v>
      </c>
      <c r="G638" s="785">
        <f t="shared" ref="G638:G696" si="38">+$I$96*((D638+F638)/2)+E638</f>
        <v>7075840.5922335368</v>
      </c>
      <c r="H638" s="786">
        <f t="shared" ref="H638:H696" si="39">$I$97*((D638+F638)/2)+E638</f>
        <v>7075840.5922335368</v>
      </c>
      <c r="I638" s="783">
        <f t="shared" ref="I638:I696" si="40">+H638-G638</f>
        <v>0</v>
      </c>
      <c r="J638" s="783"/>
      <c r="K638" s="803">
        <v>7261914</v>
      </c>
      <c r="L638" s="787"/>
      <c r="M638" s="803">
        <v>7261914</v>
      </c>
      <c r="N638" s="787"/>
      <c r="O638" s="787"/>
    </row>
    <row r="639" spans="2:15">
      <c r="C639" s="1318">
        <f>IF(D631="","-",+C638+1)</f>
        <v>2018</v>
      </c>
      <c r="D639" s="727">
        <f t="shared" si="36"/>
        <v>48773951.527777776</v>
      </c>
      <c r="E639" s="780">
        <f t="shared" ref="E639:E696" si="41">IF(D639&gt;$I$634,$I$634,D639)</f>
        <v>1393541.4722222222</v>
      </c>
      <c r="F639" s="727">
        <f t="shared" si="37"/>
        <v>47380410.055555552</v>
      </c>
      <c r="G639" s="785">
        <f t="shared" si="38"/>
        <v>6915775.8282895563</v>
      </c>
      <c r="H639" s="786">
        <f t="shared" si="39"/>
        <v>6915775.8282895563</v>
      </c>
      <c r="I639" s="783">
        <f t="shared" si="40"/>
        <v>0</v>
      </c>
      <c r="J639" s="783"/>
      <c r="K639" s="803">
        <v>5720037</v>
      </c>
      <c r="L639" s="787"/>
      <c r="M639" s="803">
        <v>5720037</v>
      </c>
      <c r="N639" s="787"/>
      <c r="O639" s="787"/>
    </row>
    <row r="640" spans="2:15">
      <c r="C640" s="1298">
        <f>IF(D631="","-",+C639+1)</f>
        <v>2019</v>
      </c>
      <c r="D640" s="727">
        <f t="shared" si="36"/>
        <v>47380410.055555552</v>
      </c>
      <c r="E640" s="780">
        <f t="shared" si="41"/>
        <v>1393541.4722222222</v>
      </c>
      <c r="F640" s="727">
        <f t="shared" si="37"/>
        <v>45986868.583333328</v>
      </c>
      <c r="G640" s="785">
        <f t="shared" si="38"/>
        <v>6755711.0643455749</v>
      </c>
      <c r="H640" s="786">
        <f t="shared" si="39"/>
        <v>6755711.0643455749</v>
      </c>
      <c r="I640" s="783">
        <f t="shared" si="40"/>
        <v>0</v>
      </c>
      <c r="J640" s="783"/>
      <c r="K640" s="803"/>
      <c r="L640" s="787"/>
      <c r="M640" s="803"/>
      <c r="N640" s="787"/>
      <c r="O640" s="787"/>
    </row>
    <row r="641" spans="3:15">
      <c r="C641" s="1299">
        <f>IF(D631="","-",+C640+1)</f>
        <v>2020</v>
      </c>
      <c r="D641" s="727">
        <f t="shared" si="36"/>
        <v>45986868.583333328</v>
      </c>
      <c r="E641" s="780">
        <f t="shared" si="41"/>
        <v>1393541.4722222222</v>
      </c>
      <c r="F641" s="727">
        <f t="shared" si="37"/>
        <v>44593327.111111104</v>
      </c>
      <c r="G641" s="785">
        <f t="shared" si="38"/>
        <v>6595646.3004015945</v>
      </c>
      <c r="H641" s="786">
        <f t="shared" si="39"/>
        <v>6595646.3004015945</v>
      </c>
      <c r="I641" s="783">
        <f t="shared" si="40"/>
        <v>0</v>
      </c>
      <c r="J641" s="783"/>
      <c r="K641" s="803"/>
      <c r="L641" s="787"/>
      <c r="M641" s="803"/>
      <c r="N641" s="787"/>
      <c r="O641" s="787"/>
    </row>
    <row r="642" spans="3:15">
      <c r="C642" s="1299">
        <f>IF(D631="","-",+C641+1)</f>
        <v>2021</v>
      </c>
      <c r="D642" s="727">
        <f t="shared" si="36"/>
        <v>44593327.111111104</v>
      </c>
      <c r="E642" s="780">
        <f t="shared" si="41"/>
        <v>1393541.4722222222</v>
      </c>
      <c r="F642" s="727">
        <f t="shared" si="37"/>
        <v>43199785.638888881</v>
      </c>
      <c r="G642" s="785">
        <f t="shared" si="38"/>
        <v>6435581.5364576131</v>
      </c>
      <c r="H642" s="786">
        <f t="shared" si="39"/>
        <v>6435581.5364576131</v>
      </c>
      <c r="I642" s="783">
        <f t="shared" si="40"/>
        <v>0</v>
      </c>
      <c r="J642" s="783"/>
      <c r="K642" s="803"/>
      <c r="L642" s="787"/>
      <c r="M642" s="803"/>
      <c r="N642" s="787"/>
      <c r="O642" s="787"/>
    </row>
    <row r="643" spans="3:15">
      <c r="C643" s="779">
        <f>IF(D631="","-",+C642+1)</f>
        <v>2022</v>
      </c>
      <c r="D643" s="727">
        <f t="shared" si="36"/>
        <v>43199785.638888881</v>
      </c>
      <c r="E643" s="780">
        <f t="shared" si="41"/>
        <v>1393541.4722222222</v>
      </c>
      <c r="F643" s="727">
        <f t="shared" si="37"/>
        <v>41806244.166666657</v>
      </c>
      <c r="G643" s="785">
        <f t="shared" si="38"/>
        <v>6275516.7725136327</v>
      </c>
      <c r="H643" s="786">
        <f t="shared" si="39"/>
        <v>6275516.7725136327</v>
      </c>
      <c r="I643" s="783">
        <f t="shared" si="40"/>
        <v>0</v>
      </c>
      <c r="J643" s="783"/>
      <c r="K643" s="803"/>
      <c r="L643" s="787"/>
      <c r="M643" s="803"/>
      <c r="N643" s="787"/>
      <c r="O643" s="787"/>
    </row>
    <row r="644" spans="3:15">
      <c r="C644" s="779">
        <f>IF(D631="","-",+C643+1)</f>
        <v>2023</v>
      </c>
      <c r="D644" s="727">
        <f t="shared" si="36"/>
        <v>41806244.166666657</v>
      </c>
      <c r="E644" s="780">
        <f t="shared" si="41"/>
        <v>1393541.4722222222</v>
      </c>
      <c r="F644" s="727">
        <f t="shared" si="37"/>
        <v>40412702.694444433</v>
      </c>
      <c r="G644" s="785">
        <f t="shared" si="38"/>
        <v>6115452.0085696513</v>
      </c>
      <c r="H644" s="786">
        <f t="shared" si="39"/>
        <v>6115452.0085696513</v>
      </c>
      <c r="I644" s="783">
        <f t="shared" si="40"/>
        <v>0</v>
      </c>
      <c r="J644" s="783"/>
      <c r="K644" s="803"/>
      <c r="L644" s="787"/>
      <c r="M644" s="803"/>
      <c r="N644" s="787"/>
      <c r="O644" s="787"/>
    </row>
    <row r="645" spans="3:15">
      <c r="C645" s="779">
        <f>IF(D631="","-",+C644+1)</f>
        <v>2024</v>
      </c>
      <c r="D645" s="727">
        <f t="shared" si="36"/>
        <v>40412702.694444433</v>
      </c>
      <c r="E645" s="780">
        <f t="shared" si="41"/>
        <v>1393541.4722222222</v>
      </c>
      <c r="F645" s="727">
        <f t="shared" si="37"/>
        <v>39019161.222222209</v>
      </c>
      <c r="G645" s="785">
        <f t="shared" si="38"/>
        <v>5955387.2446256708</v>
      </c>
      <c r="H645" s="786">
        <f t="shared" si="39"/>
        <v>5955387.2446256708</v>
      </c>
      <c r="I645" s="783">
        <f t="shared" si="40"/>
        <v>0</v>
      </c>
      <c r="J645" s="783"/>
      <c r="K645" s="803"/>
      <c r="L645" s="787"/>
      <c r="M645" s="803"/>
      <c r="N645" s="787"/>
      <c r="O645" s="787"/>
    </row>
    <row r="646" spans="3:15">
      <c r="C646" s="779">
        <f>IF(D631="","-",+C645+1)</f>
        <v>2025</v>
      </c>
      <c r="D646" s="727">
        <f t="shared" si="36"/>
        <v>39019161.222222209</v>
      </c>
      <c r="E646" s="780">
        <f t="shared" si="41"/>
        <v>1393541.4722222222</v>
      </c>
      <c r="F646" s="727">
        <f t="shared" si="37"/>
        <v>37625619.749999985</v>
      </c>
      <c r="G646" s="785">
        <f t="shared" si="38"/>
        <v>5795322.4806816895</v>
      </c>
      <c r="H646" s="786">
        <f t="shared" si="39"/>
        <v>5795322.4806816895</v>
      </c>
      <c r="I646" s="783">
        <f t="shared" si="40"/>
        <v>0</v>
      </c>
      <c r="J646" s="783"/>
      <c r="K646" s="803"/>
      <c r="L646" s="787"/>
      <c r="M646" s="803"/>
      <c r="N646" s="787"/>
      <c r="O646" s="787"/>
    </row>
    <row r="647" spans="3:15">
      <c r="C647" s="779">
        <f>IF(D631="","-",+C646+1)</f>
        <v>2026</v>
      </c>
      <c r="D647" s="727">
        <f t="shared" si="36"/>
        <v>37625619.749999985</v>
      </c>
      <c r="E647" s="780">
        <f t="shared" si="41"/>
        <v>1393541.4722222222</v>
      </c>
      <c r="F647" s="727">
        <f t="shared" si="37"/>
        <v>36232078.277777761</v>
      </c>
      <c r="G647" s="785">
        <f t="shared" si="38"/>
        <v>5635257.716737709</v>
      </c>
      <c r="H647" s="786">
        <f t="shared" si="39"/>
        <v>5635257.716737709</v>
      </c>
      <c r="I647" s="783">
        <f t="shared" si="40"/>
        <v>0</v>
      </c>
      <c r="J647" s="783"/>
      <c r="K647" s="803"/>
      <c r="L647" s="787"/>
      <c r="M647" s="803"/>
      <c r="N647" s="787"/>
      <c r="O647" s="787"/>
    </row>
    <row r="648" spans="3:15">
      <c r="C648" s="779">
        <f>IF(D631="","-",+C647+1)</f>
        <v>2027</v>
      </c>
      <c r="D648" s="727">
        <f t="shared" si="36"/>
        <v>36232078.277777761</v>
      </c>
      <c r="E648" s="780">
        <f t="shared" si="41"/>
        <v>1393541.4722222222</v>
      </c>
      <c r="F648" s="727">
        <f t="shared" si="37"/>
        <v>34838536.805555537</v>
      </c>
      <c r="G648" s="785">
        <f t="shared" si="38"/>
        <v>5475192.9527937286</v>
      </c>
      <c r="H648" s="786">
        <f t="shared" si="39"/>
        <v>5475192.9527937286</v>
      </c>
      <c r="I648" s="783">
        <f t="shared" si="40"/>
        <v>0</v>
      </c>
      <c r="J648" s="783"/>
      <c r="K648" s="803"/>
      <c r="L648" s="787"/>
      <c r="M648" s="803"/>
      <c r="N648" s="787"/>
      <c r="O648" s="787"/>
    </row>
    <row r="649" spans="3:15">
      <c r="C649" s="779">
        <f>IF(D631="","-",+C648+1)</f>
        <v>2028</v>
      </c>
      <c r="D649" s="727">
        <f t="shared" si="36"/>
        <v>34838536.805555537</v>
      </c>
      <c r="E649" s="780">
        <f t="shared" si="41"/>
        <v>1393541.4722222222</v>
      </c>
      <c r="F649" s="727">
        <f t="shared" si="37"/>
        <v>33444995.333333313</v>
      </c>
      <c r="G649" s="785">
        <f t="shared" si="38"/>
        <v>5315128.1888497472</v>
      </c>
      <c r="H649" s="786">
        <f t="shared" si="39"/>
        <v>5315128.1888497472</v>
      </c>
      <c r="I649" s="783">
        <f t="shared" si="40"/>
        <v>0</v>
      </c>
      <c r="J649" s="783"/>
      <c r="K649" s="803"/>
      <c r="L649" s="787"/>
      <c r="M649" s="803"/>
      <c r="N649" s="788"/>
      <c r="O649" s="787"/>
    </row>
    <row r="650" spans="3:15">
      <c r="C650" s="779">
        <f>IF(D631="","-",+C649+1)</f>
        <v>2029</v>
      </c>
      <c r="D650" s="727">
        <f t="shared" si="36"/>
        <v>33444995.333333313</v>
      </c>
      <c r="E650" s="780">
        <f t="shared" si="41"/>
        <v>1393541.4722222222</v>
      </c>
      <c r="F650" s="727">
        <f t="shared" si="37"/>
        <v>32051453.86111109</v>
      </c>
      <c r="G650" s="785">
        <f t="shared" si="38"/>
        <v>5155063.4249057667</v>
      </c>
      <c r="H650" s="786">
        <f t="shared" si="39"/>
        <v>5155063.4249057667</v>
      </c>
      <c r="I650" s="783">
        <f t="shared" si="40"/>
        <v>0</v>
      </c>
      <c r="J650" s="783"/>
      <c r="K650" s="803"/>
      <c r="L650" s="787"/>
      <c r="M650" s="803"/>
      <c r="N650" s="787"/>
      <c r="O650" s="787"/>
    </row>
    <row r="651" spans="3:15">
      <c r="C651" s="779">
        <f>IF(D631="","-",+C650+1)</f>
        <v>2030</v>
      </c>
      <c r="D651" s="727">
        <f t="shared" si="36"/>
        <v>32051453.86111109</v>
      </c>
      <c r="E651" s="780">
        <f t="shared" si="41"/>
        <v>1393541.4722222222</v>
      </c>
      <c r="F651" s="727">
        <f t="shared" si="37"/>
        <v>30657912.388888866</v>
      </c>
      <c r="G651" s="785">
        <f t="shared" si="38"/>
        <v>4994998.6609617854</v>
      </c>
      <c r="H651" s="786">
        <f t="shared" si="39"/>
        <v>4994998.6609617854</v>
      </c>
      <c r="I651" s="783">
        <f t="shared" si="40"/>
        <v>0</v>
      </c>
      <c r="J651" s="783"/>
      <c r="K651" s="803"/>
      <c r="L651" s="787"/>
      <c r="M651" s="803"/>
      <c r="N651" s="787"/>
      <c r="O651" s="787"/>
    </row>
    <row r="652" spans="3:15">
      <c r="C652" s="779">
        <f>IF(D631="","-",+C651+1)</f>
        <v>2031</v>
      </c>
      <c r="D652" s="727">
        <f t="shared" si="36"/>
        <v>30657912.388888866</v>
      </c>
      <c r="E652" s="780">
        <f t="shared" si="41"/>
        <v>1393541.4722222222</v>
      </c>
      <c r="F652" s="727">
        <f t="shared" si="37"/>
        <v>29264370.916666642</v>
      </c>
      <c r="G652" s="785">
        <f t="shared" si="38"/>
        <v>4834933.8970178049</v>
      </c>
      <c r="H652" s="786">
        <f t="shared" si="39"/>
        <v>4834933.8970178049</v>
      </c>
      <c r="I652" s="783">
        <f t="shared" si="40"/>
        <v>0</v>
      </c>
      <c r="J652" s="783"/>
      <c r="K652" s="803"/>
      <c r="L652" s="787"/>
      <c r="M652" s="803"/>
      <c r="N652" s="787"/>
      <c r="O652" s="787"/>
    </row>
    <row r="653" spans="3:15">
      <c r="C653" s="779">
        <f>IF(D631="","-",+C652+1)</f>
        <v>2032</v>
      </c>
      <c r="D653" s="727">
        <f t="shared" si="36"/>
        <v>29264370.916666642</v>
      </c>
      <c r="E653" s="780">
        <f t="shared" si="41"/>
        <v>1393541.4722222222</v>
      </c>
      <c r="F653" s="727">
        <f t="shared" si="37"/>
        <v>27870829.444444418</v>
      </c>
      <c r="G653" s="785">
        <f t="shared" si="38"/>
        <v>4674869.1330738235</v>
      </c>
      <c r="H653" s="786">
        <f t="shared" si="39"/>
        <v>4674869.1330738235</v>
      </c>
      <c r="I653" s="783">
        <f t="shared" si="40"/>
        <v>0</v>
      </c>
      <c r="J653" s="783"/>
      <c r="K653" s="803"/>
      <c r="L653" s="787"/>
      <c r="M653" s="803"/>
      <c r="N653" s="787"/>
      <c r="O653" s="787"/>
    </row>
    <row r="654" spans="3:15">
      <c r="C654" s="779">
        <f>IF(D631="","-",+C653+1)</f>
        <v>2033</v>
      </c>
      <c r="D654" s="727">
        <f t="shared" si="36"/>
        <v>27870829.444444418</v>
      </c>
      <c r="E654" s="780">
        <f t="shared" si="41"/>
        <v>1393541.4722222222</v>
      </c>
      <c r="F654" s="727">
        <f t="shared" si="37"/>
        <v>26477287.972222194</v>
      </c>
      <c r="G654" s="785">
        <f t="shared" si="38"/>
        <v>4514804.3691298431</v>
      </c>
      <c r="H654" s="786">
        <f t="shared" si="39"/>
        <v>4514804.3691298431</v>
      </c>
      <c r="I654" s="783">
        <f t="shared" si="40"/>
        <v>0</v>
      </c>
      <c r="J654" s="783"/>
      <c r="K654" s="803"/>
      <c r="L654" s="787"/>
      <c r="M654" s="803"/>
      <c r="N654" s="787"/>
      <c r="O654" s="787"/>
    </row>
    <row r="655" spans="3:15">
      <c r="C655" s="779">
        <f>IF(D631="","-",+C654+1)</f>
        <v>2034</v>
      </c>
      <c r="D655" s="727">
        <f t="shared" si="36"/>
        <v>26477287.972222194</v>
      </c>
      <c r="E655" s="780">
        <f t="shared" si="41"/>
        <v>1393541.4722222222</v>
      </c>
      <c r="F655" s="727">
        <f t="shared" si="37"/>
        <v>25083746.49999997</v>
      </c>
      <c r="G655" s="785">
        <f t="shared" si="38"/>
        <v>4354739.6051858617</v>
      </c>
      <c r="H655" s="786">
        <f t="shared" si="39"/>
        <v>4354739.6051858617</v>
      </c>
      <c r="I655" s="783">
        <f t="shared" si="40"/>
        <v>0</v>
      </c>
      <c r="J655" s="783"/>
      <c r="K655" s="803"/>
      <c r="L655" s="787"/>
      <c r="M655" s="803"/>
      <c r="N655" s="787"/>
      <c r="O655" s="787"/>
    </row>
    <row r="656" spans="3:15">
      <c r="C656" s="779">
        <f>IF(D631="","-",+C655+1)</f>
        <v>2035</v>
      </c>
      <c r="D656" s="727">
        <f t="shared" si="36"/>
        <v>25083746.49999997</v>
      </c>
      <c r="E656" s="780">
        <f t="shared" si="41"/>
        <v>1393541.4722222222</v>
      </c>
      <c r="F656" s="727">
        <f t="shared" si="37"/>
        <v>23690205.027777746</v>
      </c>
      <c r="G656" s="785">
        <f t="shared" si="38"/>
        <v>4194674.8412418813</v>
      </c>
      <c r="H656" s="786">
        <f t="shared" si="39"/>
        <v>4194674.8412418813</v>
      </c>
      <c r="I656" s="783">
        <f t="shared" si="40"/>
        <v>0</v>
      </c>
      <c r="J656" s="783"/>
      <c r="K656" s="803"/>
      <c r="L656" s="787"/>
      <c r="M656" s="803"/>
      <c r="N656" s="787"/>
      <c r="O656" s="787"/>
    </row>
    <row r="657" spans="3:15">
      <c r="C657" s="779">
        <f>IF(D631="","-",+C656+1)</f>
        <v>2036</v>
      </c>
      <c r="D657" s="727">
        <f t="shared" si="36"/>
        <v>23690205.027777746</v>
      </c>
      <c r="E657" s="780">
        <f t="shared" si="41"/>
        <v>1393541.4722222222</v>
      </c>
      <c r="F657" s="727">
        <f t="shared" si="37"/>
        <v>22296663.555555522</v>
      </c>
      <c r="G657" s="785">
        <f t="shared" si="38"/>
        <v>4034610.0772978999</v>
      </c>
      <c r="H657" s="786">
        <f t="shared" si="39"/>
        <v>4034610.0772978999</v>
      </c>
      <c r="I657" s="783">
        <f t="shared" si="40"/>
        <v>0</v>
      </c>
      <c r="J657" s="783"/>
      <c r="K657" s="803"/>
      <c r="L657" s="787"/>
      <c r="M657" s="803"/>
      <c r="N657" s="787"/>
      <c r="O657" s="787"/>
    </row>
    <row r="658" spans="3:15">
      <c r="C658" s="779">
        <f>IF(D631="","-",+C657+1)</f>
        <v>2037</v>
      </c>
      <c r="D658" s="727">
        <f t="shared" si="36"/>
        <v>22296663.555555522</v>
      </c>
      <c r="E658" s="780">
        <f t="shared" si="41"/>
        <v>1393541.4722222222</v>
      </c>
      <c r="F658" s="727">
        <f t="shared" si="37"/>
        <v>20903122.083333299</v>
      </c>
      <c r="G658" s="785">
        <f t="shared" si="38"/>
        <v>3874545.3133539194</v>
      </c>
      <c r="H658" s="786">
        <f t="shared" si="39"/>
        <v>3874545.3133539194</v>
      </c>
      <c r="I658" s="783">
        <f t="shared" si="40"/>
        <v>0</v>
      </c>
      <c r="J658" s="783"/>
      <c r="K658" s="803"/>
      <c r="L658" s="787"/>
      <c r="M658" s="803"/>
      <c r="N658" s="787"/>
      <c r="O658" s="787"/>
    </row>
    <row r="659" spans="3:15">
      <c r="C659" s="779">
        <f>IF(D631="","-",+C658+1)</f>
        <v>2038</v>
      </c>
      <c r="D659" s="727">
        <f t="shared" si="36"/>
        <v>20903122.083333299</v>
      </c>
      <c r="E659" s="780">
        <f t="shared" si="41"/>
        <v>1393541.4722222222</v>
      </c>
      <c r="F659" s="727">
        <f t="shared" si="37"/>
        <v>19509580.611111075</v>
      </c>
      <c r="G659" s="785">
        <f t="shared" si="38"/>
        <v>3714480.549409938</v>
      </c>
      <c r="H659" s="786">
        <f t="shared" si="39"/>
        <v>3714480.549409938</v>
      </c>
      <c r="I659" s="783">
        <f t="shared" si="40"/>
        <v>0</v>
      </c>
      <c r="J659" s="783"/>
      <c r="K659" s="803"/>
      <c r="L659" s="787"/>
      <c r="M659" s="803"/>
      <c r="N659" s="787"/>
      <c r="O659" s="787"/>
    </row>
    <row r="660" spans="3:15">
      <c r="C660" s="779">
        <f>IF(D631="","-",+C659+1)</f>
        <v>2039</v>
      </c>
      <c r="D660" s="727">
        <f t="shared" si="36"/>
        <v>19509580.611111075</v>
      </c>
      <c r="E660" s="780">
        <f t="shared" si="41"/>
        <v>1393541.4722222222</v>
      </c>
      <c r="F660" s="727">
        <f t="shared" si="37"/>
        <v>18116039.138888851</v>
      </c>
      <c r="G660" s="785">
        <f t="shared" si="38"/>
        <v>3554415.7854659576</v>
      </c>
      <c r="H660" s="786">
        <f t="shared" si="39"/>
        <v>3554415.7854659576</v>
      </c>
      <c r="I660" s="783">
        <f t="shared" si="40"/>
        <v>0</v>
      </c>
      <c r="J660" s="783"/>
      <c r="K660" s="803"/>
      <c r="L660" s="787"/>
      <c r="M660" s="803"/>
      <c r="N660" s="787"/>
      <c r="O660" s="787"/>
    </row>
    <row r="661" spans="3:15">
      <c r="C661" s="779">
        <f>IF(D631="","-",+C660+1)</f>
        <v>2040</v>
      </c>
      <c r="D661" s="727">
        <f t="shared" si="36"/>
        <v>18116039.138888851</v>
      </c>
      <c r="E661" s="780">
        <f t="shared" si="41"/>
        <v>1393541.4722222222</v>
      </c>
      <c r="F661" s="727">
        <f t="shared" si="37"/>
        <v>16722497.666666629</v>
      </c>
      <c r="G661" s="785">
        <f t="shared" si="38"/>
        <v>3394351.0215219767</v>
      </c>
      <c r="H661" s="786">
        <f t="shared" si="39"/>
        <v>3394351.0215219767</v>
      </c>
      <c r="I661" s="783">
        <f t="shared" si="40"/>
        <v>0</v>
      </c>
      <c r="J661" s="783"/>
      <c r="K661" s="803"/>
      <c r="L661" s="787"/>
      <c r="M661" s="803"/>
      <c r="N661" s="787"/>
      <c r="O661" s="787"/>
    </row>
    <row r="662" spans="3:15">
      <c r="C662" s="779">
        <f>IF(D631="","-",+C661+1)</f>
        <v>2041</v>
      </c>
      <c r="D662" s="727">
        <f t="shared" si="36"/>
        <v>16722497.666666629</v>
      </c>
      <c r="E662" s="780">
        <f t="shared" si="41"/>
        <v>1393541.4722222222</v>
      </c>
      <c r="F662" s="727">
        <f t="shared" si="37"/>
        <v>15328956.194444407</v>
      </c>
      <c r="G662" s="785">
        <f t="shared" si="38"/>
        <v>3234286.2575779958</v>
      </c>
      <c r="H662" s="786">
        <f t="shared" si="39"/>
        <v>3234286.2575779958</v>
      </c>
      <c r="I662" s="783">
        <f t="shared" si="40"/>
        <v>0</v>
      </c>
      <c r="J662" s="783"/>
      <c r="K662" s="803"/>
      <c r="L662" s="787"/>
      <c r="M662" s="803"/>
      <c r="N662" s="787"/>
      <c r="O662" s="787"/>
    </row>
    <row r="663" spans="3:15">
      <c r="C663" s="779">
        <f>IF(D631="","-",+C662+1)</f>
        <v>2042</v>
      </c>
      <c r="D663" s="727">
        <f t="shared" si="36"/>
        <v>15328956.194444407</v>
      </c>
      <c r="E663" s="780">
        <f t="shared" si="41"/>
        <v>1393541.4722222222</v>
      </c>
      <c r="F663" s="727">
        <f t="shared" si="37"/>
        <v>13935414.722222185</v>
      </c>
      <c r="G663" s="785">
        <f t="shared" si="38"/>
        <v>3074221.4936340153</v>
      </c>
      <c r="H663" s="786">
        <f t="shared" si="39"/>
        <v>3074221.4936340153</v>
      </c>
      <c r="I663" s="783">
        <f t="shared" si="40"/>
        <v>0</v>
      </c>
      <c r="J663" s="783"/>
      <c r="K663" s="803"/>
      <c r="L663" s="787"/>
      <c r="M663" s="803"/>
      <c r="N663" s="787"/>
      <c r="O663" s="787"/>
    </row>
    <row r="664" spans="3:15">
      <c r="C664" s="779">
        <f>IF(D631="","-",+C663+1)</f>
        <v>2043</v>
      </c>
      <c r="D664" s="727">
        <f t="shared" si="36"/>
        <v>13935414.722222185</v>
      </c>
      <c r="E664" s="780">
        <f t="shared" si="41"/>
        <v>1393541.4722222222</v>
      </c>
      <c r="F664" s="727">
        <f t="shared" si="37"/>
        <v>12541873.249999963</v>
      </c>
      <c r="G664" s="785">
        <f t="shared" si="38"/>
        <v>2914156.7296900349</v>
      </c>
      <c r="H664" s="786">
        <f t="shared" si="39"/>
        <v>2914156.7296900349</v>
      </c>
      <c r="I664" s="783">
        <f t="shared" si="40"/>
        <v>0</v>
      </c>
      <c r="J664" s="783"/>
      <c r="K664" s="803"/>
      <c r="L664" s="787"/>
      <c r="M664" s="803"/>
      <c r="N664" s="787"/>
      <c r="O664" s="787"/>
    </row>
    <row r="665" spans="3:15">
      <c r="C665" s="779">
        <f>IF(D631="","-",+C664+1)</f>
        <v>2044</v>
      </c>
      <c r="D665" s="727">
        <f t="shared" si="36"/>
        <v>12541873.249999963</v>
      </c>
      <c r="E665" s="780">
        <f t="shared" si="41"/>
        <v>1393541.4722222222</v>
      </c>
      <c r="F665" s="727">
        <f t="shared" si="37"/>
        <v>11148331.777777741</v>
      </c>
      <c r="G665" s="781">
        <f t="shared" si="38"/>
        <v>2754091.965746054</v>
      </c>
      <c r="H665" s="786">
        <f t="shared" si="39"/>
        <v>2754091.965746054</v>
      </c>
      <c r="I665" s="783">
        <f t="shared" si="40"/>
        <v>0</v>
      </c>
      <c r="J665" s="783"/>
      <c r="K665" s="803"/>
      <c r="L665" s="787"/>
      <c r="M665" s="803"/>
      <c r="N665" s="787"/>
      <c r="O665" s="787"/>
    </row>
    <row r="666" spans="3:15">
      <c r="C666" s="779">
        <f>IF(D631="","-",+C665+1)</f>
        <v>2045</v>
      </c>
      <c r="D666" s="727">
        <f t="shared" si="36"/>
        <v>11148331.777777741</v>
      </c>
      <c r="E666" s="780">
        <f t="shared" si="41"/>
        <v>1393541.4722222222</v>
      </c>
      <c r="F666" s="727">
        <f t="shared" si="37"/>
        <v>9754790.3055555187</v>
      </c>
      <c r="G666" s="785">
        <f t="shared" si="38"/>
        <v>2594027.201802073</v>
      </c>
      <c r="H666" s="786">
        <f t="shared" si="39"/>
        <v>2594027.201802073</v>
      </c>
      <c r="I666" s="783">
        <f t="shared" si="40"/>
        <v>0</v>
      </c>
      <c r="J666" s="783"/>
      <c r="K666" s="803"/>
      <c r="L666" s="787"/>
      <c r="M666" s="803"/>
      <c r="N666" s="787"/>
      <c r="O666" s="787"/>
    </row>
    <row r="667" spans="3:15">
      <c r="C667" s="779">
        <f>IF(D631="","-",+C666+1)</f>
        <v>2046</v>
      </c>
      <c r="D667" s="727">
        <f t="shared" si="36"/>
        <v>9754790.3055555187</v>
      </c>
      <c r="E667" s="780">
        <f t="shared" si="41"/>
        <v>1393541.4722222222</v>
      </c>
      <c r="F667" s="727">
        <f t="shared" si="37"/>
        <v>8361248.8333332967</v>
      </c>
      <c r="G667" s="785">
        <f t="shared" si="38"/>
        <v>2433962.4378580926</v>
      </c>
      <c r="H667" s="786">
        <f t="shared" si="39"/>
        <v>2433962.4378580926</v>
      </c>
      <c r="I667" s="783">
        <f t="shared" si="40"/>
        <v>0</v>
      </c>
      <c r="J667" s="783"/>
      <c r="K667" s="803"/>
      <c r="L667" s="787"/>
      <c r="M667" s="803"/>
      <c r="N667" s="787"/>
      <c r="O667" s="787"/>
    </row>
    <row r="668" spans="3:15">
      <c r="C668" s="779">
        <f>IF(D631="","-",+C667+1)</f>
        <v>2047</v>
      </c>
      <c r="D668" s="727">
        <f t="shared" si="36"/>
        <v>8361248.8333332967</v>
      </c>
      <c r="E668" s="780">
        <f t="shared" si="41"/>
        <v>1393541.4722222222</v>
      </c>
      <c r="F668" s="727">
        <f t="shared" si="37"/>
        <v>6967707.3611110747</v>
      </c>
      <c r="G668" s="785">
        <f t="shared" si="38"/>
        <v>2273897.6739141122</v>
      </c>
      <c r="H668" s="786">
        <f t="shared" si="39"/>
        <v>2273897.6739141122</v>
      </c>
      <c r="I668" s="783">
        <f t="shared" si="40"/>
        <v>0</v>
      </c>
      <c r="J668" s="783"/>
      <c r="K668" s="803"/>
      <c r="L668" s="787"/>
      <c r="M668" s="803"/>
      <c r="N668" s="787"/>
      <c r="O668" s="787"/>
    </row>
    <row r="669" spans="3:15">
      <c r="C669" s="779">
        <f>IF(D631="","-",+C668+1)</f>
        <v>2048</v>
      </c>
      <c r="D669" s="727">
        <f t="shared" si="36"/>
        <v>6967707.3611110747</v>
      </c>
      <c r="E669" s="780">
        <f t="shared" si="41"/>
        <v>1393541.4722222222</v>
      </c>
      <c r="F669" s="727">
        <f t="shared" si="37"/>
        <v>5574165.8888888527</v>
      </c>
      <c r="G669" s="785">
        <f t="shared" si="38"/>
        <v>2113832.9099701312</v>
      </c>
      <c r="H669" s="786">
        <f t="shared" si="39"/>
        <v>2113832.9099701312</v>
      </c>
      <c r="I669" s="783">
        <f t="shared" si="40"/>
        <v>0</v>
      </c>
      <c r="J669" s="783"/>
      <c r="K669" s="803"/>
      <c r="L669" s="787"/>
      <c r="M669" s="803"/>
      <c r="N669" s="787"/>
      <c r="O669" s="787"/>
    </row>
    <row r="670" spans="3:15">
      <c r="C670" s="779">
        <f>IF(D631="","-",+C669+1)</f>
        <v>2049</v>
      </c>
      <c r="D670" s="727">
        <f t="shared" si="36"/>
        <v>5574165.8888888527</v>
      </c>
      <c r="E670" s="780">
        <f t="shared" si="41"/>
        <v>1393541.4722222222</v>
      </c>
      <c r="F670" s="727">
        <f t="shared" si="37"/>
        <v>4180624.4166666307</v>
      </c>
      <c r="G670" s="785">
        <f t="shared" si="38"/>
        <v>1953768.1460261506</v>
      </c>
      <c r="H670" s="786">
        <f t="shared" si="39"/>
        <v>1953768.1460261506</v>
      </c>
      <c r="I670" s="783">
        <f t="shared" si="40"/>
        <v>0</v>
      </c>
      <c r="J670" s="783"/>
      <c r="K670" s="803"/>
      <c r="L670" s="787"/>
      <c r="M670" s="803"/>
      <c r="N670" s="787"/>
      <c r="O670" s="787"/>
    </row>
    <row r="671" spans="3:15">
      <c r="C671" s="779">
        <f>IF(D631="","-",+C670+1)</f>
        <v>2050</v>
      </c>
      <c r="D671" s="727">
        <f t="shared" si="36"/>
        <v>4180624.4166666307</v>
      </c>
      <c r="E671" s="780">
        <f t="shared" si="41"/>
        <v>1393541.4722222222</v>
      </c>
      <c r="F671" s="727">
        <f t="shared" si="37"/>
        <v>2787082.9444444086</v>
      </c>
      <c r="G671" s="785">
        <f t="shared" si="38"/>
        <v>1793703.3820821699</v>
      </c>
      <c r="H671" s="786">
        <f t="shared" si="39"/>
        <v>1793703.3820821699</v>
      </c>
      <c r="I671" s="783">
        <f t="shared" si="40"/>
        <v>0</v>
      </c>
      <c r="J671" s="783"/>
      <c r="K671" s="803"/>
      <c r="L671" s="787"/>
      <c r="M671" s="803"/>
      <c r="N671" s="787"/>
      <c r="O671" s="787"/>
    </row>
    <row r="672" spans="3:15">
      <c r="C672" s="779">
        <f>IF(D631="","-",+C671+1)</f>
        <v>2051</v>
      </c>
      <c r="D672" s="727">
        <f t="shared" si="36"/>
        <v>2787082.9444444086</v>
      </c>
      <c r="E672" s="780">
        <f t="shared" si="41"/>
        <v>1393541.4722222222</v>
      </c>
      <c r="F672" s="727">
        <f t="shared" si="37"/>
        <v>1393541.4722221864</v>
      </c>
      <c r="G672" s="785">
        <f t="shared" si="38"/>
        <v>1633638.6181381892</v>
      </c>
      <c r="H672" s="786">
        <f t="shared" si="39"/>
        <v>1633638.6181381892</v>
      </c>
      <c r="I672" s="783">
        <f t="shared" si="40"/>
        <v>0</v>
      </c>
      <c r="J672" s="783"/>
      <c r="K672" s="803"/>
      <c r="L672" s="787"/>
      <c r="M672" s="803"/>
      <c r="N672" s="787"/>
      <c r="O672" s="787"/>
    </row>
    <row r="673" spans="3:15">
      <c r="C673" s="779">
        <f>IF(D631="","-",+C672+1)</f>
        <v>2052</v>
      </c>
      <c r="D673" s="727">
        <f t="shared" si="36"/>
        <v>1393541.4722221864</v>
      </c>
      <c r="E673" s="780">
        <f t="shared" si="41"/>
        <v>1393541.4722221864</v>
      </c>
      <c r="F673" s="727">
        <f t="shared" si="37"/>
        <v>0</v>
      </c>
      <c r="G673" s="785">
        <f t="shared" si="38"/>
        <v>1473573.8541941748</v>
      </c>
      <c r="H673" s="786">
        <f t="shared" si="39"/>
        <v>1473573.8541941748</v>
      </c>
      <c r="I673" s="783">
        <f t="shared" si="40"/>
        <v>0</v>
      </c>
      <c r="J673" s="783"/>
      <c r="K673" s="803"/>
      <c r="L673" s="787"/>
      <c r="M673" s="803"/>
      <c r="N673" s="787"/>
      <c r="O673" s="787"/>
    </row>
    <row r="674" spans="3:15">
      <c r="C674" s="779">
        <f>IF(D631="","-",+C673+1)</f>
        <v>2053</v>
      </c>
      <c r="D674" s="727">
        <f t="shared" si="36"/>
        <v>0</v>
      </c>
      <c r="E674" s="780">
        <f t="shared" si="41"/>
        <v>0</v>
      </c>
      <c r="F674" s="727">
        <f t="shared" si="37"/>
        <v>0</v>
      </c>
      <c r="G674" s="785">
        <f t="shared" si="38"/>
        <v>0</v>
      </c>
      <c r="H674" s="786">
        <f t="shared" si="39"/>
        <v>0</v>
      </c>
      <c r="I674" s="783">
        <f t="shared" si="40"/>
        <v>0</v>
      </c>
      <c r="J674" s="783"/>
      <c r="K674" s="803"/>
      <c r="L674" s="787"/>
      <c r="M674" s="803"/>
      <c r="N674" s="787"/>
      <c r="O674" s="787"/>
    </row>
    <row r="675" spans="3:15">
      <c r="C675" s="779">
        <f>IF(D631="","-",+C674+1)</f>
        <v>2054</v>
      </c>
      <c r="D675" s="727">
        <f t="shared" si="36"/>
        <v>0</v>
      </c>
      <c r="E675" s="780">
        <f t="shared" si="41"/>
        <v>0</v>
      </c>
      <c r="F675" s="727">
        <f t="shared" si="37"/>
        <v>0</v>
      </c>
      <c r="G675" s="785">
        <f t="shared" si="38"/>
        <v>0</v>
      </c>
      <c r="H675" s="786">
        <f t="shared" si="39"/>
        <v>0</v>
      </c>
      <c r="I675" s="783">
        <f t="shared" si="40"/>
        <v>0</v>
      </c>
      <c r="J675" s="783"/>
      <c r="K675" s="803"/>
      <c r="L675" s="787"/>
      <c r="M675" s="803"/>
      <c r="N675" s="787"/>
      <c r="O675" s="787"/>
    </row>
    <row r="676" spans="3:15">
      <c r="C676" s="779">
        <f>IF(D631="","-",+C675+1)</f>
        <v>2055</v>
      </c>
      <c r="D676" s="727">
        <f t="shared" si="36"/>
        <v>0</v>
      </c>
      <c r="E676" s="780">
        <f t="shared" si="41"/>
        <v>0</v>
      </c>
      <c r="F676" s="727">
        <f t="shared" si="37"/>
        <v>0</v>
      </c>
      <c r="G676" s="785">
        <f t="shared" si="38"/>
        <v>0</v>
      </c>
      <c r="H676" s="786">
        <f t="shared" si="39"/>
        <v>0</v>
      </c>
      <c r="I676" s="783">
        <f t="shared" si="40"/>
        <v>0</v>
      </c>
      <c r="J676" s="783"/>
      <c r="K676" s="803"/>
      <c r="L676" s="787"/>
      <c r="M676" s="803"/>
      <c r="N676" s="787"/>
      <c r="O676" s="787"/>
    </row>
    <row r="677" spans="3:15">
      <c r="C677" s="779">
        <f>IF(D631="","-",+C676+1)</f>
        <v>2056</v>
      </c>
      <c r="D677" s="727">
        <f t="shared" si="36"/>
        <v>0</v>
      </c>
      <c r="E677" s="780">
        <f t="shared" si="41"/>
        <v>0</v>
      </c>
      <c r="F677" s="727">
        <f t="shared" si="37"/>
        <v>0</v>
      </c>
      <c r="G677" s="785">
        <f t="shared" si="38"/>
        <v>0</v>
      </c>
      <c r="H677" s="786">
        <f t="shared" si="39"/>
        <v>0</v>
      </c>
      <c r="I677" s="783">
        <f t="shared" si="40"/>
        <v>0</v>
      </c>
      <c r="J677" s="783"/>
      <c r="K677" s="803"/>
      <c r="L677" s="787"/>
      <c r="M677" s="803"/>
      <c r="N677" s="787"/>
      <c r="O677" s="787"/>
    </row>
    <row r="678" spans="3:15">
      <c r="C678" s="779">
        <f>IF(D631="","-",+C677+1)</f>
        <v>2057</v>
      </c>
      <c r="D678" s="727">
        <f t="shared" si="36"/>
        <v>0</v>
      </c>
      <c r="E678" s="780">
        <f t="shared" si="41"/>
        <v>0</v>
      </c>
      <c r="F678" s="727">
        <f t="shared" si="37"/>
        <v>0</v>
      </c>
      <c r="G678" s="785">
        <f t="shared" si="38"/>
        <v>0</v>
      </c>
      <c r="H678" s="786">
        <f t="shared" si="39"/>
        <v>0</v>
      </c>
      <c r="I678" s="783">
        <f t="shared" si="40"/>
        <v>0</v>
      </c>
      <c r="J678" s="783"/>
      <c r="K678" s="803"/>
      <c r="L678" s="787"/>
      <c r="M678" s="803"/>
      <c r="N678" s="787"/>
      <c r="O678" s="787"/>
    </row>
    <row r="679" spans="3:15">
      <c r="C679" s="779">
        <f>IF(D631="","-",+C678+1)</f>
        <v>2058</v>
      </c>
      <c r="D679" s="727">
        <f t="shared" si="36"/>
        <v>0</v>
      </c>
      <c r="E679" s="780">
        <f t="shared" si="41"/>
        <v>0</v>
      </c>
      <c r="F679" s="727">
        <f t="shared" si="37"/>
        <v>0</v>
      </c>
      <c r="G679" s="785">
        <f t="shared" si="38"/>
        <v>0</v>
      </c>
      <c r="H679" s="786">
        <f t="shared" si="39"/>
        <v>0</v>
      </c>
      <c r="I679" s="783">
        <f t="shared" si="40"/>
        <v>0</v>
      </c>
      <c r="J679" s="783"/>
      <c r="K679" s="803"/>
      <c r="L679" s="787"/>
      <c r="M679" s="803"/>
      <c r="N679" s="787"/>
      <c r="O679" s="787"/>
    </row>
    <row r="680" spans="3:15">
      <c r="C680" s="779">
        <f>IF(D631="","-",+C679+1)</f>
        <v>2059</v>
      </c>
      <c r="D680" s="727">
        <f t="shared" si="36"/>
        <v>0</v>
      </c>
      <c r="E680" s="780">
        <f t="shared" si="41"/>
        <v>0</v>
      </c>
      <c r="F680" s="727">
        <f t="shared" si="37"/>
        <v>0</v>
      </c>
      <c r="G680" s="785">
        <f t="shared" si="38"/>
        <v>0</v>
      </c>
      <c r="H680" s="786">
        <f t="shared" si="39"/>
        <v>0</v>
      </c>
      <c r="I680" s="783">
        <f t="shared" si="40"/>
        <v>0</v>
      </c>
      <c r="J680" s="783"/>
      <c r="K680" s="803"/>
      <c r="L680" s="787"/>
      <c r="M680" s="803"/>
      <c r="N680" s="787"/>
      <c r="O680" s="787"/>
    </row>
    <row r="681" spans="3:15">
      <c r="C681" s="779">
        <f>IF(D631="","-",+C680+1)</f>
        <v>2060</v>
      </c>
      <c r="D681" s="727">
        <f t="shared" si="36"/>
        <v>0</v>
      </c>
      <c r="E681" s="780">
        <f t="shared" si="41"/>
        <v>0</v>
      </c>
      <c r="F681" s="727">
        <f t="shared" si="37"/>
        <v>0</v>
      </c>
      <c r="G681" s="785">
        <f t="shared" si="38"/>
        <v>0</v>
      </c>
      <c r="H681" s="786">
        <f t="shared" si="39"/>
        <v>0</v>
      </c>
      <c r="I681" s="783">
        <f t="shared" si="40"/>
        <v>0</v>
      </c>
      <c r="J681" s="783"/>
      <c r="K681" s="803"/>
      <c r="L681" s="787"/>
      <c r="M681" s="803"/>
      <c r="N681" s="787"/>
      <c r="O681" s="787"/>
    </row>
    <row r="682" spans="3:15">
      <c r="C682" s="779">
        <f>IF(D631="","-",+C681+1)</f>
        <v>2061</v>
      </c>
      <c r="D682" s="727">
        <f t="shared" si="36"/>
        <v>0</v>
      </c>
      <c r="E682" s="780">
        <f t="shared" si="41"/>
        <v>0</v>
      </c>
      <c r="F682" s="727">
        <f t="shared" si="37"/>
        <v>0</v>
      </c>
      <c r="G682" s="785">
        <f t="shared" si="38"/>
        <v>0</v>
      </c>
      <c r="H682" s="786">
        <f t="shared" si="39"/>
        <v>0</v>
      </c>
      <c r="I682" s="783">
        <f t="shared" si="40"/>
        <v>0</v>
      </c>
      <c r="J682" s="783"/>
      <c r="K682" s="803"/>
      <c r="L682" s="787"/>
      <c r="M682" s="803"/>
      <c r="N682" s="787"/>
      <c r="O682" s="787"/>
    </row>
    <row r="683" spans="3:15">
      <c r="C683" s="779">
        <f>IF(D631="","-",+C682+1)</f>
        <v>2062</v>
      </c>
      <c r="D683" s="727">
        <f t="shared" si="36"/>
        <v>0</v>
      </c>
      <c r="E683" s="780">
        <f t="shared" si="41"/>
        <v>0</v>
      </c>
      <c r="F683" s="727">
        <f t="shared" si="37"/>
        <v>0</v>
      </c>
      <c r="G683" s="785">
        <f t="shared" si="38"/>
        <v>0</v>
      </c>
      <c r="H683" s="786">
        <f t="shared" si="39"/>
        <v>0</v>
      </c>
      <c r="I683" s="783">
        <f t="shared" si="40"/>
        <v>0</v>
      </c>
      <c r="J683" s="783"/>
      <c r="K683" s="803"/>
      <c r="L683" s="787"/>
      <c r="M683" s="803"/>
      <c r="N683" s="787"/>
      <c r="O683" s="787"/>
    </row>
    <row r="684" spans="3:15">
      <c r="C684" s="779">
        <f>IF(D631="","-",+C683+1)</f>
        <v>2063</v>
      </c>
      <c r="D684" s="727">
        <f t="shared" si="36"/>
        <v>0</v>
      </c>
      <c r="E684" s="780">
        <f t="shared" si="41"/>
        <v>0</v>
      </c>
      <c r="F684" s="727">
        <f t="shared" si="37"/>
        <v>0</v>
      </c>
      <c r="G684" s="785">
        <f t="shared" si="38"/>
        <v>0</v>
      </c>
      <c r="H684" s="786">
        <f t="shared" si="39"/>
        <v>0</v>
      </c>
      <c r="I684" s="783">
        <f t="shared" si="40"/>
        <v>0</v>
      </c>
      <c r="J684" s="783"/>
      <c r="K684" s="803"/>
      <c r="L684" s="787"/>
      <c r="M684" s="803"/>
      <c r="N684" s="787"/>
      <c r="O684" s="787"/>
    </row>
    <row r="685" spans="3:15">
      <c r="C685" s="779">
        <f>IF(D631="","-",+C684+1)</f>
        <v>2064</v>
      </c>
      <c r="D685" s="727">
        <f t="shared" si="36"/>
        <v>0</v>
      </c>
      <c r="E685" s="780">
        <f t="shared" si="41"/>
        <v>0</v>
      </c>
      <c r="F685" s="727">
        <f t="shared" si="37"/>
        <v>0</v>
      </c>
      <c r="G685" s="785">
        <f t="shared" si="38"/>
        <v>0</v>
      </c>
      <c r="H685" s="786">
        <f t="shared" si="39"/>
        <v>0</v>
      </c>
      <c r="I685" s="783">
        <f t="shared" si="40"/>
        <v>0</v>
      </c>
      <c r="J685" s="783"/>
      <c r="K685" s="803"/>
      <c r="L685" s="787"/>
      <c r="M685" s="803"/>
      <c r="N685" s="787"/>
      <c r="O685" s="787"/>
    </row>
    <row r="686" spans="3:15">
      <c r="C686" s="779">
        <f>IF(D631="","-",+C685+1)</f>
        <v>2065</v>
      </c>
      <c r="D686" s="727">
        <f t="shared" si="36"/>
        <v>0</v>
      </c>
      <c r="E686" s="780">
        <f t="shared" si="41"/>
        <v>0</v>
      </c>
      <c r="F686" s="727">
        <f t="shared" si="37"/>
        <v>0</v>
      </c>
      <c r="G686" s="785">
        <f t="shared" si="38"/>
        <v>0</v>
      </c>
      <c r="H686" s="786">
        <f t="shared" si="39"/>
        <v>0</v>
      </c>
      <c r="I686" s="783">
        <f t="shared" si="40"/>
        <v>0</v>
      </c>
      <c r="J686" s="783"/>
      <c r="K686" s="803"/>
      <c r="L686" s="787"/>
      <c r="M686" s="803"/>
      <c r="N686" s="787"/>
      <c r="O686" s="787"/>
    </row>
    <row r="687" spans="3:15">
      <c r="C687" s="779">
        <f>IF(D631="","-",+C686+1)</f>
        <v>2066</v>
      </c>
      <c r="D687" s="727">
        <f t="shared" si="36"/>
        <v>0</v>
      </c>
      <c r="E687" s="780">
        <f t="shared" si="41"/>
        <v>0</v>
      </c>
      <c r="F687" s="727">
        <f t="shared" si="37"/>
        <v>0</v>
      </c>
      <c r="G687" s="785">
        <f t="shared" si="38"/>
        <v>0</v>
      </c>
      <c r="H687" s="786">
        <f t="shared" si="39"/>
        <v>0</v>
      </c>
      <c r="I687" s="783">
        <f t="shared" si="40"/>
        <v>0</v>
      </c>
      <c r="J687" s="783"/>
      <c r="K687" s="803"/>
      <c r="L687" s="787"/>
      <c r="M687" s="803"/>
      <c r="N687" s="787"/>
      <c r="O687" s="787"/>
    </row>
    <row r="688" spans="3:15">
      <c r="C688" s="779">
        <f>IF(D631="","-",+C687+1)</f>
        <v>2067</v>
      </c>
      <c r="D688" s="727">
        <f t="shared" si="36"/>
        <v>0</v>
      </c>
      <c r="E688" s="780">
        <f t="shared" si="41"/>
        <v>0</v>
      </c>
      <c r="F688" s="727">
        <f t="shared" si="37"/>
        <v>0</v>
      </c>
      <c r="G688" s="785">
        <f t="shared" si="38"/>
        <v>0</v>
      </c>
      <c r="H688" s="786">
        <f t="shared" si="39"/>
        <v>0</v>
      </c>
      <c r="I688" s="783">
        <f t="shared" si="40"/>
        <v>0</v>
      </c>
      <c r="J688" s="783"/>
      <c r="K688" s="803"/>
      <c r="L688" s="787"/>
      <c r="M688" s="803"/>
      <c r="N688" s="787"/>
      <c r="O688" s="787"/>
    </row>
    <row r="689" spans="3:15">
      <c r="C689" s="779">
        <f>IF(D631="","-",+C688+1)</f>
        <v>2068</v>
      </c>
      <c r="D689" s="727">
        <f t="shared" si="36"/>
        <v>0</v>
      </c>
      <c r="E689" s="780">
        <f t="shared" si="41"/>
        <v>0</v>
      </c>
      <c r="F689" s="727">
        <f t="shared" si="37"/>
        <v>0</v>
      </c>
      <c r="G689" s="785">
        <f t="shared" si="38"/>
        <v>0</v>
      </c>
      <c r="H689" s="786">
        <f t="shared" si="39"/>
        <v>0</v>
      </c>
      <c r="I689" s="783">
        <f t="shared" si="40"/>
        <v>0</v>
      </c>
      <c r="J689" s="783"/>
      <c r="K689" s="803"/>
      <c r="L689" s="787"/>
      <c r="M689" s="803"/>
      <c r="N689" s="787"/>
      <c r="O689" s="787"/>
    </row>
    <row r="690" spans="3:15">
      <c r="C690" s="779">
        <f>IF(D631="","-",+C689+1)</f>
        <v>2069</v>
      </c>
      <c r="D690" s="727">
        <f t="shared" si="36"/>
        <v>0</v>
      </c>
      <c r="E690" s="780">
        <f t="shared" si="41"/>
        <v>0</v>
      </c>
      <c r="F690" s="727">
        <f t="shared" si="37"/>
        <v>0</v>
      </c>
      <c r="G690" s="785">
        <f t="shared" si="38"/>
        <v>0</v>
      </c>
      <c r="H690" s="786">
        <f t="shared" si="39"/>
        <v>0</v>
      </c>
      <c r="I690" s="783">
        <f t="shared" si="40"/>
        <v>0</v>
      </c>
      <c r="J690" s="783"/>
      <c r="K690" s="803"/>
      <c r="L690" s="787"/>
      <c r="M690" s="803"/>
      <c r="N690" s="787"/>
      <c r="O690" s="787"/>
    </row>
    <row r="691" spans="3:15">
      <c r="C691" s="779">
        <f>IF(D631="","-",+C690+1)</f>
        <v>2070</v>
      </c>
      <c r="D691" s="727">
        <f t="shared" si="36"/>
        <v>0</v>
      </c>
      <c r="E691" s="780">
        <f t="shared" si="41"/>
        <v>0</v>
      </c>
      <c r="F691" s="727">
        <f t="shared" si="37"/>
        <v>0</v>
      </c>
      <c r="G691" s="785">
        <f t="shared" si="38"/>
        <v>0</v>
      </c>
      <c r="H691" s="786">
        <f t="shared" si="39"/>
        <v>0</v>
      </c>
      <c r="I691" s="783">
        <f t="shared" si="40"/>
        <v>0</v>
      </c>
      <c r="J691" s="783"/>
      <c r="K691" s="803"/>
      <c r="L691" s="787"/>
      <c r="M691" s="803"/>
      <c r="N691" s="787"/>
      <c r="O691" s="787"/>
    </row>
    <row r="692" spans="3:15">
      <c r="C692" s="779">
        <f>IF(D631="","-",+C691+1)</f>
        <v>2071</v>
      </c>
      <c r="D692" s="727">
        <f t="shared" si="36"/>
        <v>0</v>
      </c>
      <c r="E692" s="780">
        <f t="shared" si="41"/>
        <v>0</v>
      </c>
      <c r="F692" s="727">
        <f t="shared" si="37"/>
        <v>0</v>
      </c>
      <c r="G692" s="785">
        <f t="shared" si="38"/>
        <v>0</v>
      </c>
      <c r="H692" s="786">
        <f t="shared" si="39"/>
        <v>0</v>
      </c>
      <c r="I692" s="783">
        <f t="shared" si="40"/>
        <v>0</v>
      </c>
      <c r="J692" s="783"/>
      <c r="K692" s="803"/>
      <c r="L692" s="787"/>
      <c r="M692" s="803"/>
      <c r="N692" s="787"/>
      <c r="O692" s="787"/>
    </row>
    <row r="693" spans="3:15">
      <c r="C693" s="779">
        <f>IF(D631="","-",+C692+1)</f>
        <v>2072</v>
      </c>
      <c r="D693" s="727">
        <f t="shared" si="36"/>
        <v>0</v>
      </c>
      <c r="E693" s="780">
        <f t="shared" si="41"/>
        <v>0</v>
      </c>
      <c r="F693" s="727">
        <f t="shared" si="37"/>
        <v>0</v>
      </c>
      <c r="G693" s="785">
        <f t="shared" si="38"/>
        <v>0</v>
      </c>
      <c r="H693" s="786">
        <f t="shared" si="39"/>
        <v>0</v>
      </c>
      <c r="I693" s="783">
        <f t="shared" si="40"/>
        <v>0</v>
      </c>
      <c r="J693" s="783"/>
      <c r="K693" s="803"/>
      <c r="L693" s="787"/>
      <c r="M693" s="803"/>
      <c r="N693" s="787"/>
      <c r="O693" s="787"/>
    </row>
    <row r="694" spans="3:15">
      <c r="C694" s="779">
        <f>IF(D631="","-",+C693+1)</f>
        <v>2073</v>
      </c>
      <c r="D694" s="727">
        <f t="shared" si="36"/>
        <v>0</v>
      </c>
      <c r="E694" s="780">
        <f t="shared" si="41"/>
        <v>0</v>
      </c>
      <c r="F694" s="727">
        <f t="shared" si="37"/>
        <v>0</v>
      </c>
      <c r="G694" s="785">
        <f t="shared" si="38"/>
        <v>0</v>
      </c>
      <c r="H694" s="786">
        <f t="shared" si="39"/>
        <v>0</v>
      </c>
      <c r="I694" s="783">
        <f t="shared" si="40"/>
        <v>0</v>
      </c>
      <c r="J694" s="783"/>
      <c r="K694" s="803"/>
      <c r="L694" s="787"/>
      <c r="M694" s="803"/>
      <c r="N694" s="787"/>
      <c r="O694" s="787"/>
    </row>
    <row r="695" spans="3:15">
      <c r="C695" s="779">
        <f>IF(D631="","-",+C694+1)</f>
        <v>2074</v>
      </c>
      <c r="D695" s="727">
        <f t="shared" si="36"/>
        <v>0</v>
      </c>
      <c r="E695" s="780">
        <f t="shared" si="41"/>
        <v>0</v>
      </c>
      <c r="F695" s="727">
        <f t="shared" si="37"/>
        <v>0</v>
      </c>
      <c r="G695" s="785">
        <f t="shared" si="38"/>
        <v>0</v>
      </c>
      <c r="H695" s="786">
        <f t="shared" si="39"/>
        <v>0</v>
      </c>
      <c r="I695" s="783">
        <f t="shared" si="40"/>
        <v>0</v>
      </c>
      <c r="J695" s="783"/>
      <c r="K695" s="803"/>
      <c r="L695" s="787"/>
      <c r="M695" s="803"/>
      <c r="N695" s="787"/>
      <c r="O695" s="787"/>
    </row>
    <row r="696" spans="3:15" ht="13.5" thickBot="1">
      <c r="C696" s="789">
        <f>IF(D631="","-",+C695+1)</f>
        <v>2075</v>
      </c>
      <c r="D696" s="790">
        <f t="shared" si="36"/>
        <v>0</v>
      </c>
      <c r="E696" s="791">
        <f t="shared" si="41"/>
        <v>0</v>
      </c>
      <c r="F696" s="790">
        <f t="shared" si="37"/>
        <v>0</v>
      </c>
      <c r="G696" s="792">
        <f t="shared" si="38"/>
        <v>0</v>
      </c>
      <c r="H696" s="792">
        <f t="shared" si="39"/>
        <v>0</v>
      </c>
      <c r="I696" s="793">
        <f t="shared" si="40"/>
        <v>0</v>
      </c>
      <c r="J696" s="783"/>
      <c r="K696" s="804"/>
      <c r="L696" s="794"/>
      <c r="M696" s="804"/>
      <c r="N696" s="794"/>
      <c r="O696" s="794"/>
    </row>
    <row r="697" spans="3:15">
      <c r="C697" s="727" t="s">
        <v>93</v>
      </c>
      <c r="D697" s="721"/>
      <c r="E697" s="721">
        <f>SUM(E637:E696)</f>
        <v>50167493</v>
      </c>
      <c r="F697" s="721"/>
      <c r="G697" s="721">
        <f>SUM(G637:G696)</f>
        <v>159651791.53768268</v>
      </c>
      <c r="H697" s="721">
        <f>SUM(H637:H696)</f>
        <v>159651791.53768268</v>
      </c>
      <c r="I697" s="721">
        <f>SUM(I637:I696)</f>
        <v>0</v>
      </c>
      <c r="J697" s="721"/>
      <c r="K697" s="721"/>
      <c r="L697" s="721"/>
      <c r="M697" s="721"/>
      <c r="N697" s="721"/>
      <c r="O697" s="308"/>
    </row>
    <row r="698" spans="3:15">
      <c r="D698" s="529"/>
      <c r="E698" s="308"/>
      <c r="F698" s="308"/>
      <c r="G698" s="308"/>
      <c r="H698" s="699"/>
      <c r="I698" s="699"/>
      <c r="J698" s="721"/>
      <c r="K698" s="699"/>
      <c r="L698" s="699"/>
      <c r="M698" s="699"/>
      <c r="N698" s="699"/>
      <c r="O698" s="308"/>
    </row>
    <row r="699" spans="3:15">
      <c r="C699" s="308" t="s">
        <v>15</v>
      </c>
      <c r="D699" s="529"/>
      <c r="E699" s="308"/>
      <c r="F699" s="308"/>
      <c r="G699" s="308"/>
      <c r="H699" s="699"/>
      <c r="I699" s="699"/>
      <c r="J699" s="721"/>
      <c r="K699" s="699"/>
      <c r="L699" s="699"/>
      <c r="M699" s="699"/>
      <c r="N699" s="699"/>
      <c r="O699" s="308"/>
    </row>
    <row r="700" spans="3:15">
      <c r="C700" s="308"/>
      <c r="D700" s="529"/>
      <c r="E700" s="308"/>
      <c r="F700" s="308"/>
      <c r="G700" s="308"/>
      <c r="H700" s="699"/>
      <c r="I700" s="699"/>
      <c r="J700" s="721"/>
      <c r="K700" s="699"/>
      <c r="L700" s="699"/>
      <c r="M700" s="699"/>
      <c r="N700" s="699"/>
      <c r="O700" s="308"/>
    </row>
    <row r="701" spans="3:15">
      <c r="C701" s="740" t="s">
        <v>16</v>
      </c>
      <c r="D701" s="727"/>
      <c r="E701" s="727"/>
      <c r="F701" s="727"/>
      <c r="G701" s="721"/>
      <c r="H701" s="721"/>
      <c r="I701" s="795"/>
      <c r="J701" s="795"/>
      <c r="K701" s="795"/>
      <c r="L701" s="795"/>
      <c r="M701" s="795"/>
      <c r="N701" s="795"/>
      <c r="O701" s="308"/>
    </row>
    <row r="702" spans="3:15">
      <c r="C702" s="726" t="s">
        <v>273</v>
      </c>
      <c r="D702" s="727"/>
      <c r="E702" s="727"/>
      <c r="F702" s="727"/>
      <c r="G702" s="721"/>
      <c r="H702" s="721"/>
      <c r="I702" s="795"/>
      <c r="J702" s="795"/>
      <c r="K702" s="795"/>
      <c r="L702" s="795"/>
      <c r="M702" s="795"/>
      <c r="N702" s="795"/>
      <c r="O702" s="308"/>
    </row>
    <row r="703" spans="3:15">
      <c r="C703" s="726" t="s">
        <v>94</v>
      </c>
      <c r="D703" s="727"/>
      <c r="E703" s="727"/>
      <c r="F703" s="727"/>
      <c r="G703" s="721"/>
      <c r="H703" s="721"/>
      <c r="I703" s="795"/>
      <c r="J703" s="795"/>
      <c r="K703" s="795"/>
      <c r="L703" s="795"/>
      <c r="M703" s="795"/>
      <c r="N703" s="795"/>
      <c r="O703" s="308"/>
    </row>
    <row r="704" spans="3:15">
      <c r="C704" s="726"/>
      <c r="D704" s="727"/>
      <c r="E704" s="727"/>
      <c r="F704" s="727"/>
      <c r="G704" s="721"/>
      <c r="H704" s="721"/>
      <c r="I704" s="795"/>
      <c r="J704" s="795"/>
      <c r="K704" s="795"/>
      <c r="L704" s="795"/>
      <c r="M704" s="795"/>
      <c r="N704" s="795"/>
      <c r="O704" s="308"/>
    </row>
    <row r="705" spans="1:16">
      <c r="C705" s="1552" t="s">
        <v>8</v>
      </c>
      <c r="D705" s="1552"/>
      <c r="E705" s="1552"/>
      <c r="F705" s="1552"/>
      <c r="G705" s="1552"/>
      <c r="H705" s="1552"/>
      <c r="I705" s="1552"/>
      <c r="J705" s="1552"/>
      <c r="K705" s="1552"/>
      <c r="L705" s="1552"/>
      <c r="M705" s="1552"/>
      <c r="N705" s="1552"/>
      <c r="O705" s="1552"/>
    </row>
    <row r="706" spans="1:16">
      <c r="C706" s="1552"/>
      <c r="D706" s="1552"/>
      <c r="E706" s="1552"/>
      <c r="F706" s="1552"/>
      <c r="G706" s="1552"/>
      <c r="H706" s="1552"/>
      <c r="I706" s="1552"/>
      <c r="J706" s="1552"/>
      <c r="K706" s="1552"/>
      <c r="L706" s="1552"/>
      <c r="M706" s="1552"/>
      <c r="N706" s="1552"/>
      <c r="O706" s="1552"/>
    </row>
    <row r="707" spans="1:16" ht="20.25">
      <c r="A707" s="728" t="str">
        <f>""&amp;A631&amp;" Worksheet J -  ATRR PROJECTED Calculation for PJM Projects Charged to Benefiting Zones"</f>
        <v xml:space="preserve"> Worksheet J -  ATRR PROJECTED Calculation for PJM Projects Charged to Benefiting Zones</v>
      </c>
      <c r="B707" s="341"/>
      <c r="C707" s="716"/>
      <c r="D707" s="529"/>
      <c r="E707" s="308"/>
      <c r="F707" s="698"/>
      <c r="G707" s="308"/>
      <c r="H707" s="699"/>
      <c r="K707" s="555"/>
      <c r="L707" s="555"/>
      <c r="M707" s="555"/>
      <c r="N707" s="644" t="str">
        <f>"Page "&amp;SUM(P$8:P707)&amp;" of "</f>
        <v xml:space="preserve">Page 9 of </v>
      </c>
      <c r="O707" s="645">
        <f>COUNT(P$8:P$56656)</f>
        <v>11</v>
      </c>
      <c r="P707" s="172">
        <v>1</v>
      </c>
    </row>
    <row r="708" spans="1:16" ht="20.25">
      <c r="A708" s="728"/>
      <c r="B708" s="341"/>
      <c r="C708" s="716"/>
      <c r="D708" s="529"/>
      <c r="E708" s="308"/>
      <c r="F708" s="698"/>
      <c r="G708" s="308"/>
      <c r="H708" s="699"/>
      <c r="K708" s="555"/>
      <c r="L708" s="555"/>
      <c r="M708" s="555"/>
      <c r="N708" s="644"/>
      <c r="O708" s="645"/>
    </row>
    <row r="709" spans="1:16" ht="18">
      <c r="B709" s="648" t="s">
        <v>474</v>
      </c>
      <c r="C709" s="730" t="s">
        <v>95</v>
      </c>
      <c r="D709" s="529"/>
      <c r="E709" s="308"/>
      <c r="F709" s="308"/>
      <c r="G709" s="308"/>
      <c r="H709" s="699"/>
      <c r="I709" s="699"/>
      <c r="J709" s="721"/>
      <c r="K709" s="699"/>
      <c r="L709" s="699"/>
      <c r="M709" s="699"/>
      <c r="N709" s="699"/>
      <c r="O709" s="308"/>
    </row>
    <row r="710" spans="1:16" ht="18.75">
      <c r="B710" s="648"/>
      <c r="C710" s="647"/>
      <c r="D710" s="529"/>
      <c r="E710" s="308"/>
      <c r="F710" s="308"/>
      <c r="G710" s="308"/>
      <c r="H710" s="699"/>
      <c r="I710" s="699"/>
      <c r="J710" s="721"/>
      <c r="K710" s="699"/>
      <c r="L710" s="699"/>
      <c r="M710" s="699"/>
      <c r="N710" s="699"/>
      <c r="O710" s="308"/>
    </row>
    <row r="711" spans="1:16" ht="18.75">
      <c r="B711" s="648"/>
      <c r="C711" s="647" t="s">
        <v>96</v>
      </c>
      <c r="D711" s="529"/>
      <c r="E711" s="308"/>
      <c r="F711" s="308"/>
      <c r="G711" s="308"/>
      <c r="H711" s="699"/>
      <c r="I711" s="699"/>
      <c r="J711" s="721"/>
      <c r="K711" s="699"/>
      <c r="L711" s="699"/>
      <c r="M711" s="699"/>
      <c r="N711" s="699"/>
      <c r="O711" s="308"/>
    </row>
    <row r="712" spans="1:16" ht="15.75" thickBot="1">
      <c r="C712" s="239"/>
      <c r="D712" s="529"/>
      <c r="E712" s="308"/>
      <c r="F712" s="308"/>
      <c r="G712" s="308"/>
      <c r="H712" s="699"/>
      <c r="I712" s="699"/>
      <c r="J712" s="721"/>
      <c r="K712" s="699"/>
      <c r="L712" s="699"/>
      <c r="M712" s="699"/>
      <c r="N712" s="699"/>
      <c r="O712" s="308"/>
    </row>
    <row r="713" spans="1:16" ht="15.75">
      <c r="C713" s="650" t="s">
        <v>97</v>
      </c>
      <c r="D713" s="529"/>
      <c r="E713" s="308"/>
      <c r="F713" s="308"/>
      <c r="G713" s="797"/>
      <c r="H713" s="308" t="s">
        <v>76</v>
      </c>
      <c r="I713" s="308"/>
      <c r="J713" s="418"/>
      <c r="K713" s="731" t="s">
        <v>101</v>
      </c>
      <c r="L713" s="732"/>
      <c r="M713" s="733"/>
      <c r="N713" s="734">
        <f>IF(I719=0,0,VLOOKUP(I719,C726:O785,5))</f>
        <v>7803157.7119049067</v>
      </c>
      <c r="O713" s="308"/>
    </row>
    <row r="714" spans="1:16" ht="15.75">
      <c r="C714" s="650"/>
      <c r="D714" s="529"/>
      <c r="E714" s="308"/>
      <c r="F714" s="308"/>
      <c r="G714" s="308"/>
      <c r="H714" s="735"/>
      <c r="I714" s="735"/>
      <c r="J714" s="736"/>
      <c r="K714" s="737" t="s">
        <v>102</v>
      </c>
      <c r="L714" s="738"/>
      <c r="M714" s="418"/>
      <c r="N714" s="739">
        <f>IF(I719=0,0,VLOOKUP(I719,C726:O785,6))</f>
        <v>7803157.7119049067</v>
      </c>
      <c r="O714" s="308"/>
    </row>
    <row r="715" spans="1:16" ht="13.5" thickBot="1">
      <c r="C715" s="740" t="s">
        <v>98</v>
      </c>
      <c r="D715" s="1553" t="s">
        <v>824</v>
      </c>
      <c r="E715" s="1553"/>
      <c r="F715" s="1553"/>
      <c r="G715" s="1553"/>
      <c r="H715" s="1553"/>
      <c r="I715" s="1553"/>
      <c r="J715" s="721"/>
      <c r="K715" s="741" t="s">
        <v>240</v>
      </c>
      <c r="L715" s="742"/>
      <c r="M715" s="742"/>
      <c r="N715" s="743">
        <f>+N714-N713</f>
        <v>0</v>
      </c>
      <c r="O715" s="308"/>
    </row>
    <row r="716" spans="1:16">
      <c r="C716" s="744"/>
      <c r="D716" s="1553"/>
      <c r="E716" s="1553"/>
      <c r="F716" s="1553"/>
      <c r="G716" s="1553"/>
      <c r="H716" s="1553"/>
      <c r="I716" s="1553"/>
      <c r="J716" s="721"/>
      <c r="K716" s="699"/>
      <c r="L716" s="699"/>
      <c r="M716" s="699"/>
      <c r="N716" s="699"/>
      <c r="O716" s="308"/>
    </row>
    <row r="717" spans="1:16" ht="13.5" thickBot="1">
      <c r="C717" s="747"/>
      <c r="D717" s="748"/>
      <c r="E717" s="746"/>
      <c r="F717" s="746"/>
      <c r="G717" s="746"/>
      <c r="H717" s="746"/>
      <c r="I717" s="746"/>
      <c r="J717" s="749"/>
      <c r="K717" s="746"/>
      <c r="L717" s="746"/>
      <c r="M717" s="746"/>
      <c r="N717" s="746"/>
      <c r="O717" s="341"/>
    </row>
    <row r="718" spans="1:16" ht="13.5" thickBot="1">
      <c r="C718" s="750" t="s">
        <v>99</v>
      </c>
      <c r="D718" s="751"/>
      <c r="E718" s="751"/>
      <c r="F718" s="751"/>
      <c r="G718" s="751"/>
      <c r="H718" s="751"/>
      <c r="I718" s="752"/>
      <c r="J718" s="753"/>
      <c r="K718" s="308"/>
      <c r="L718" s="308"/>
      <c r="M718" s="308"/>
      <c r="N718" s="308"/>
      <c r="O718" s="754"/>
    </row>
    <row r="719" spans="1:16" ht="15">
      <c r="C719" s="755" t="s">
        <v>77</v>
      </c>
      <c r="D719" s="1300">
        <v>62379701</v>
      </c>
      <c r="E719" s="716" t="s">
        <v>78</v>
      </c>
      <c r="G719" s="756"/>
      <c r="H719" s="756"/>
      <c r="I719" s="757">
        <f>$L$26</f>
        <v>2022</v>
      </c>
      <c r="J719" s="545"/>
      <c r="K719" s="1554" t="s">
        <v>249</v>
      </c>
      <c r="L719" s="1554"/>
      <c r="M719" s="1554"/>
      <c r="N719" s="1554"/>
      <c r="O719" s="1554"/>
    </row>
    <row r="720" spans="1:16">
      <c r="C720" s="755" t="s">
        <v>80</v>
      </c>
      <c r="D720" s="1301">
        <v>2016</v>
      </c>
      <c r="E720" s="755" t="s">
        <v>81</v>
      </c>
      <c r="F720" s="756"/>
      <c r="H720" s="172"/>
      <c r="I720" s="801">
        <f>IF(G713="",0,$F$17)</f>
        <v>0</v>
      </c>
      <c r="J720" s="758"/>
      <c r="K720" s="721" t="s">
        <v>249</v>
      </c>
    </row>
    <row r="721" spans="2:15">
      <c r="C721" s="755" t="s">
        <v>82</v>
      </c>
      <c r="D721" s="1302">
        <v>12</v>
      </c>
      <c r="E721" s="755" t="s">
        <v>83</v>
      </c>
      <c r="F721" s="756"/>
      <c r="H721" s="172"/>
      <c r="I721" s="759">
        <f>$G$70</f>
        <v>0.11486185889303469</v>
      </c>
      <c r="J721" s="760"/>
      <c r="K721" s="172" t="str">
        <f>"          INPUT PROJECTED ARR (WITH &amp; WITHOUT INCENTIVES) FROM EACH PRIOR YEAR"</f>
        <v xml:space="preserve">          INPUT PROJECTED ARR (WITH &amp; WITHOUT INCENTIVES) FROM EACH PRIOR YEAR</v>
      </c>
    </row>
    <row r="722" spans="2:15">
      <c r="C722" s="755" t="s">
        <v>84</v>
      </c>
      <c r="D722" s="761">
        <f>$G$79</f>
        <v>36</v>
      </c>
      <c r="E722" s="755" t="s">
        <v>85</v>
      </c>
      <c r="F722" s="756"/>
      <c r="H722" s="172"/>
      <c r="I722" s="759">
        <f>IF(G713="",I721,$G$69)</f>
        <v>0.11486185889303469</v>
      </c>
      <c r="J722" s="762"/>
      <c r="K722" s="172" t="s">
        <v>162</v>
      </c>
    </row>
    <row r="723" spans="2:15" ht="13.5" thickBot="1">
      <c r="C723" s="755" t="s">
        <v>86</v>
      </c>
      <c r="D723" s="798" t="s">
        <v>814</v>
      </c>
      <c r="E723" s="763" t="s">
        <v>87</v>
      </c>
      <c r="F723" s="764"/>
      <c r="G723" s="765"/>
      <c r="H723" s="765"/>
      <c r="I723" s="743">
        <f>IF(D719=0,0,D719/D722)</f>
        <v>1732769.4722222222</v>
      </c>
      <c r="J723" s="721"/>
      <c r="K723" s="721" t="s">
        <v>168</v>
      </c>
      <c r="L723" s="721"/>
      <c r="M723" s="721"/>
      <c r="N723" s="721"/>
      <c r="O723" s="418"/>
    </row>
    <row r="724" spans="2:15" ht="51">
      <c r="B724" s="836"/>
      <c r="C724" s="766" t="s">
        <v>77</v>
      </c>
      <c r="D724" s="767" t="s">
        <v>88</v>
      </c>
      <c r="E724" s="768" t="s">
        <v>89</v>
      </c>
      <c r="F724" s="767" t="s">
        <v>90</v>
      </c>
      <c r="G724" s="768" t="s">
        <v>161</v>
      </c>
      <c r="H724" s="769" t="s">
        <v>161</v>
      </c>
      <c r="I724" s="766" t="s">
        <v>100</v>
      </c>
      <c r="J724" s="770"/>
      <c r="K724" s="768" t="s">
        <v>170</v>
      </c>
      <c r="L724" s="771"/>
      <c r="M724" s="768" t="s">
        <v>170</v>
      </c>
      <c r="N724" s="771"/>
      <c r="O724" s="771"/>
    </row>
    <row r="725" spans="2:15" ht="13.5" thickBot="1">
      <c r="C725" s="772" t="s">
        <v>477</v>
      </c>
      <c r="D725" s="773" t="s">
        <v>478</v>
      </c>
      <c r="E725" s="772" t="s">
        <v>371</v>
      </c>
      <c r="F725" s="773" t="s">
        <v>478</v>
      </c>
      <c r="G725" s="774" t="s">
        <v>103</v>
      </c>
      <c r="H725" s="775" t="s">
        <v>105</v>
      </c>
      <c r="I725" s="776" t="s">
        <v>17</v>
      </c>
      <c r="J725" s="777"/>
      <c r="K725" s="774" t="s">
        <v>92</v>
      </c>
      <c r="L725" s="778"/>
      <c r="M725" s="774" t="s">
        <v>105</v>
      </c>
      <c r="N725" s="778"/>
      <c r="O725" s="778"/>
    </row>
    <row r="726" spans="2:15">
      <c r="C726" s="779">
        <f>IF(D720= "","-",D720)</f>
        <v>2016</v>
      </c>
      <c r="D726" s="727">
        <f>+D719</f>
        <v>62379701</v>
      </c>
      <c r="E726" s="780">
        <f>+I723/12*(12-D721)</f>
        <v>0</v>
      </c>
      <c r="F726" s="727">
        <f>+D726-E726</f>
        <v>62379701</v>
      </c>
      <c r="G726" s="988">
        <f>+$I$96*((D726+F726)/2)+E726</f>
        <v>7165048.4140516948</v>
      </c>
      <c r="H726" s="989">
        <f>$I$97*((D726+F726)/2)+E726</f>
        <v>7165048.4140516948</v>
      </c>
      <c r="I726" s="783">
        <f>+H726-G726</f>
        <v>0</v>
      </c>
      <c r="J726" s="783"/>
      <c r="K726" s="1303">
        <v>5764647</v>
      </c>
      <c r="L726" s="784"/>
      <c r="M726" s="1303">
        <v>5764647</v>
      </c>
      <c r="N726" s="784"/>
      <c r="O726" s="784"/>
    </row>
    <row r="727" spans="2:15">
      <c r="C727" s="779">
        <f>IF(D720="","-",+C726+1)</f>
        <v>2017</v>
      </c>
      <c r="D727" s="727">
        <f t="shared" ref="D727:D785" si="42">F726</f>
        <v>62379701</v>
      </c>
      <c r="E727" s="780">
        <f>IF(D727&gt;$I$723,$I$723,D727)</f>
        <v>1732769.4722222222</v>
      </c>
      <c r="F727" s="727">
        <f t="shared" ref="F727:F785" si="43">+D727-E727</f>
        <v>60646931.527777776</v>
      </c>
      <c r="G727" s="785">
        <f t="shared" ref="G727:G785" si="44">+$I$96*((D727+F727)/2)+E727</f>
        <v>8798303.3249676432</v>
      </c>
      <c r="H727" s="786">
        <f t="shared" ref="H727:H785" si="45">$I$97*((D727+F727)/2)+E727</f>
        <v>8798303.3249676432</v>
      </c>
      <c r="I727" s="783">
        <f t="shared" ref="I727:I785" si="46">+H727-G727</f>
        <v>0</v>
      </c>
      <c r="J727" s="783"/>
      <c r="K727" s="1304">
        <v>7201236</v>
      </c>
      <c r="L727" s="787"/>
      <c r="M727" s="1304">
        <v>7201236</v>
      </c>
      <c r="N727" s="787"/>
      <c r="O727" s="787"/>
    </row>
    <row r="728" spans="2:15">
      <c r="C728" s="1318">
        <f>IF(D720="","-",+C727+1)</f>
        <v>2018</v>
      </c>
      <c r="D728" s="727">
        <f t="shared" si="42"/>
        <v>60646931.527777776</v>
      </c>
      <c r="E728" s="780">
        <f t="shared" ref="E728:E785" si="47">IF(D728&gt;$I$723,$I$723,D728)</f>
        <v>1732769.4722222222</v>
      </c>
      <c r="F728" s="727">
        <f t="shared" si="43"/>
        <v>58914162.055555552</v>
      </c>
      <c r="G728" s="785">
        <f t="shared" si="44"/>
        <v>8599274.2023550961</v>
      </c>
      <c r="H728" s="786">
        <f t="shared" si="45"/>
        <v>8599274.2023550961</v>
      </c>
      <c r="I728" s="783">
        <f t="shared" si="46"/>
        <v>0</v>
      </c>
      <c r="J728" s="783"/>
      <c r="K728" s="803">
        <v>7115546</v>
      </c>
      <c r="L728" s="787"/>
      <c r="M728" s="803">
        <v>7115546</v>
      </c>
      <c r="N728" s="787"/>
      <c r="O728" s="787"/>
    </row>
    <row r="729" spans="2:15">
      <c r="C729" s="1298">
        <f>IF(D720="","-",+C728+1)</f>
        <v>2019</v>
      </c>
      <c r="D729" s="727">
        <f t="shared" si="42"/>
        <v>58914162.055555552</v>
      </c>
      <c r="E729" s="780">
        <f t="shared" si="47"/>
        <v>1732769.4722222222</v>
      </c>
      <c r="F729" s="727">
        <f t="shared" si="43"/>
        <v>57181392.583333328</v>
      </c>
      <c r="G729" s="785">
        <f t="shared" si="44"/>
        <v>8400245.079742549</v>
      </c>
      <c r="H729" s="786">
        <f t="shared" si="45"/>
        <v>8400245.079742549</v>
      </c>
      <c r="I729" s="783">
        <f t="shared" si="46"/>
        <v>0</v>
      </c>
      <c r="J729" s="783"/>
      <c r="K729" s="803"/>
      <c r="L729" s="787"/>
      <c r="M729" s="803"/>
      <c r="N729" s="787"/>
      <c r="O729" s="787"/>
    </row>
    <row r="730" spans="2:15">
      <c r="C730" s="1299">
        <f>IF(D720="","-",+C729+1)</f>
        <v>2020</v>
      </c>
      <c r="D730" s="727">
        <f t="shared" si="42"/>
        <v>57181392.583333328</v>
      </c>
      <c r="E730" s="780">
        <f t="shared" si="47"/>
        <v>1732769.4722222222</v>
      </c>
      <c r="F730" s="727">
        <f t="shared" si="43"/>
        <v>55448623.111111104</v>
      </c>
      <c r="G730" s="785">
        <f t="shared" si="44"/>
        <v>8201215.9571300009</v>
      </c>
      <c r="H730" s="786">
        <f t="shared" si="45"/>
        <v>8201215.9571300009</v>
      </c>
      <c r="I730" s="783">
        <f t="shared" si="46"/>
        <v>0</v>
      </c>
      <c r="J730" s="783"/>
      <c r="K730" s="803"/>
      <c r="L730" s="787"/>
      <c r="M730" s="803"/>
      <c r="N730" s="787"/>
      <c r="O730" s="787"/>
    </row>
    <row r="731" spans="2:15">
      <c r="C731" s="1299">
        <f>IF(D720="","-",+C730+1)</f>
        <v>2021</v>
      </c>
      <c r="D731" s="727">
        <f t="shared" si="42"/>
        <v>55448623.111111104</v>
      </c>
      <c r="E731" s="780">
        <f t="shared" si="47"/>
        <v>1732769.4722222222</v>
      </c>
      <c r="F731" s="727">
        <f t="shared" si="43"/>
        <v>53715853.638888881</v>
      </c>
      <c r="G731" s="785">
        <f t="shared" si="44"/>
        <v>8002186.8345174538</v>
      </c>
      <c r="H731" s="786">
        <f t="shared" si="45"/>
        <v>8002186.8345174538</v>
      </c>
      <c r="I731" s="783">
        <f t="shared" si="46"/>
        <v>0</v>
      </c>
      <c r="J731" s="783"/>
      <c r="K731" s="803"/>
      <c r="L731" s="787"/>
      <c r="M731" s="803"/>
      <c r="N731" s="787"/>
      <c r="O731" s="787"/>
    </row>
    <row r="732" spans="2:15">
      <c r="C732" s="779">
        <f>IF(D720="","-",+C731+1)</f>
        <v>2022</v>
      </c>
      <c r="D732" s="727">
        <f t="shared" si="42"/>
        <v>53715853.638888881</v>
      </c>
      <c r="E732" s="780">
        <f t="shared" si="47"/>
        <v>1732769.4722222222</v>
      </c>
      <c r="F732" s="727">
        <f t="shared" si="43"/>
        <v>51983084.166666657</v>
      </c>
      <c r="G732" s="785">
        <f t="shared" si="44"/>
        <v>7803157.7119049067</v>
      </c>
      <c r="H732" s="786">
        <f t="shared" si="45"/>
        <v>7803157.7119049067</v>
      </c>
      <c r="I732" s="783">
        <f t="shared" si="46"/>
        <v>0</v>
      </c>
      <c r="J732" s="783"/>
      <c r="K732" s="803"/>
      <c r="L732" s="787"/>
      <c r="M732" s="803"/>
      <c r="N732" s="787"/>
      <c r="O732" s="787"/>
    </row>
    <row r="733" spans="2:15">
      <c r="C733" s="779">
        <f>IF(D720="","-",+C732+1)</f>
        <v>2023</v>
      </c>
      <c r="D733" s="727">
        <f t="shared" si="42"/>
        <v>51983084.166666657</v>
      </c>
      <c r="E733" s="780">
        <f t="shared" si="47"/>
        <v>1732769.4722222222</v>
      </c>
      <c r="F733" s="727">
        <f t="shared" si="43"/>
        <v>50250314.694444433</v>
      </c>
      <c r="G733" s="785">
        <f t="shared" si="44"/>
        <v>7604128.5892923595</v>
      </c>
      <c r="H733" s="786">
        <f t="shared" si="45"/>
        <v>7604128.5892923595</v>
      </c>
      <c r="I733" s="783">
        <f t="shared" si="46"/>
        <v>0</v>
      </c>
      <c r="J733" s="783"/>
      <c r="K733" s="803"/>
      <c r="L733" s="787"/>
      <c r="M733" s="803"/>
      <c r="N733" s="787"/>
      <c r="O733" s="787"/>
    </row>
    <row r="734" spans="2:15">
      <c r="C734" s="779">
        <f>IF(D720="","-",+C733+1)</f>
        <v>2024</v>
      </c>
      <c r="D734" s="727">
        <f t="shared" si="42"/>
        <v>50250314.694444433</v>
      </c>
      <c r="E734" s="780">
        <f t="shared" si="47"/>
        <v>1732769.4722222222</v>
      </c>
      <c r="F734" s="727">
        <f t="shared" si="43"/>
        <v>48517545.222222209</v>
      </c>
      <c r="G734" s="785">
        <f t="shared" si="44"/>
        <v>7405099.4666798124</v>
      </c>
      <c r="H734" s="786">
        <f t="shared" si="45"/>
        <v>7405099.4666798124</v>
      </c>
      <c r="I734" s="783">
        <f t="shared" si="46"/>
        <v>0</v>
      </c>
      <c r="J734" s="783"/>
      <c r="K734" s="803"/>
      <c r="L734" s="787"/>
      <c r="M734" s="803"/>
      <c r="N734" s="787"/>
      <c r="O734" s="787"/>
    </row>
    <row r="735" spans="2:15">
      <c r="C735" s="779">
        <f>IF(D720="","-",+C734+1)</f>
        <v>2025</v>
      </c>
      <c r="D735" s="727">
        <f t="shared" si="42"/>
        <v>48517545.222222209</v>
      </c>
      <c r="E735" s="780">
        <f t="shared" si="47"/>
        <v>1732769.4722222222</v>
      </c>
      <c r="F735" s="727">
        <f t="shared" si="43"/>
        <v>46784775.749999985</v>
      </c>
      <c r="G735" s="785">
        <f t="shared" si="44"/>
        <v>7206070.3440672653</v>
      </c>
      <c r="H735" s="786">
        <f t="shared" si="45"/>
        <v>7206070.3440672653</v>
      </c>
      <c r="I735" s="783">
        <f t="shared" si="46"/>
        <v>0</v>
      </c>
      <c r="J735" s="783"/>
      <c r="K735" s="803"/>
      <c r="L735" s="787"/>
      <c r="M735" s="803"/>
      <c r="N735" s="787"/>
      <c r="O735" s="787"/>
    </row>
    <row r="736" spans="2:15">
      <c r="C736" s="779">
        <f>IF(D720="","-",+C735+1)</f>
        <v>2026</v>
      </c>
      <c r="D736" s="727">
        <f t="shared" si="42"/>
        <v>46784775.749999985</v>
      </c>
      <c r="E736" s="780">
        <f t="shared" si="47"/>
        <v>1732769.4722222222</v>
      </c>
      <c r="F736" s="727">
        <f t="shared" si="43"/>
        <v>45052006.277777761</v>
      </c>
      <c r="G736" s="785">
        <f t="shared" si="44"/>
        <v>7007041.2214547172</v>
      </c>
      <c r="H736" s="786">
        <f t="shared" si="45"/>
        <v>7007041.2214547172</v>
      </c>
      <c r="I736" s="783">
        <f t="shared" si="46"/>
        <v>0</v>
      </c>
      <c r="J736" s="783"/>
      <c r="K736" s="803"/>
      <c r="L736" s="787"/>
      <c r="M736" s="803"/>
      <c r="N736" s="787"/>
      <c r="O736" s="787"/>
    </row>
    <row r="737" spans="3:15">
      <c r="C737" s="779">
        <f>IF(D720="","-",+C736+1)</f>
        <v>2027</v>
      </c>
      <c r="D737" s="727">
        <f t="shared" si="42"/>
        <v>45052006.277777761</v>
      </c>
      <c r="E737" s="780">
        <f t="shared" si="47"/>
        <v>1732769.4722222222</v>
      </c>
      <c r="F737" s="727">
        <f t="shared" si="43"/>
        <v>43319236.805555537</v>
      </c>
      <c r="G737" s="785">
        <f t="shared" si="44"/>
        <v>6808012.0988421701</v>
      </c>
      <c r="H737" s="786">
        <f t="shared" si="45"/>
        <v>6808012.0988421701</v>
      </c>
      <c r="I737" s="783">
        <f t="shared" si="46"/>
        <v>0</v>
      </c>
      <c r="J737" s="783"/>
      <c r="K737" s="803"/>
      <c r="L737" s="787"/>
      <c r="M737" s="803"/>
      <c r="N737" s="787"/>
      <c r="O737" s="787"/>
    </row>
    <row r="738" spans="3:15">
      <c r="C738" s="779">
        <f>IF(D720="","-",+C737+1)</f>
        <v>2028</v>
      </c>
      <c r="D738" s="727">
        <f t="shared" si="42"/>
        <v>43319236.805555537</v>
      </c>
      <c r="E738" s="780">
        <f t="shared" si="47"/>
        <v>1732769.4722222222</v>
      </c>
      <c r="F738" s="727">
        <f t="shared" si="43"/>
        <v>41586467.333333313</v>
      </c>
      <c r="G738" s="785">
        <f t="shared" si="44"/>
        <v>6608982.976229623</v>
      </c>
      <c r="H738" s="786">
        <f t="shared" si="45"/>
        <v>6608982.976229623</v>
      </c>
      <c r="I738" s="783">
        <f t="shared" si="46"/>
        <v>0</v>
      </c>
      <c r="J738" s="783"/>
      <c r="K738" s="803"/>
      <c r="L738" s="787"/>
      <c r="M738" s="803"/>
      <c r="N738" s="788"/>
      <c r="O738" s="787"/>
    </row>
    <row r="739" spans="3:15">
      <c r="C739" s="779">
        <f>IF(D720="","-",+C738+1)</f>
        <v>2029</v>
      </c>
      <c r="D739" s="727">
        <f t="shared" si="42"/>
        <v>41586467.333333313</v>
      </c>
      <c r="E739" s="780">
        <f t="shared" si="47"/>
        <v>1732769.4722222222</v>
      </c>
      <c r="F739" s="727">
        <f t="shared" si="43"/>
        <v>39853697.86111109</v>
      </c>
      <c r="G739" s="785">
        <f t="shared" si="44"/>
        <v>6409953.8536170758</v>
      </c>
      <c r="H739" s="786">
        <f t="shared" si="45"/>
        <v>6409953.8536170758</v>
      </c>
      <c r="I739" s="783">
        <f t="shared" si="46"/>
        <v>0</v>
      </c>
      <c r="J739" s="783"/>
      <c r="K739" s="803"/>
      <c r="L739" s="787"/>
      <c r="M739" s="803"/>
      <c r="N739" s="787"/>
      <c r="O739" s="787"/>
    </row>
    <row r="740" spans="3:15">
      <c r="C740" s="779">
        <f>IF(D720="","-",+C739+1)</f>
        <v>2030</v>
      </c>
      <c r="D740" s="727">
        <f t="shared" si="42"/>
        <v>39853697.86111109</v>
      </c>
      <c r="E740" s="780">
        <f t="shared" si="47"/>
        <v>1732769.4722222222</v>
      </c>
      <c r="F740" s="727">
        <f t="shared" si="43"/>
        <v>38120928.388888866</v>
      </c>
      <c r="G740" s="785">
        <f t="shared" si="44"/>
        <v>6210924.7310045287</v>
      </c>
      <c r="H740" s="786">
        <f t="shared" si="45"/>
        <v>6210924.7310045287</v>
      </c>
      <c r="I740" s="783">
        <f t="shared" si="46"/>
        <v>0</v>
      </c>
      <c r="J740" s="783"/>
      <c r="K740" s="803"/>
      <c r="L740" s="787"/>
      <c r="M740" s="803"/>
      <c r="N740" s="787"/>
      <c r="O740" s="787"/>
    </row>
    <row r="741" spans="3:15">
      <c r="C741" s="779">
        <f>IF(D720="","-",+C740+1)</f>
        <v>2031</v>
      </c>
      <c r="D741" s="727">
        <f t="shared" si="42"/>
        <v>38120928.388888866</v>
      </c>
      <c r="E741" s="780">
        <f t="shared" si="47"/>
        <v>1732769.4722222222</v>
      </c>
      <c r="F741" s="727">
        <f t="shared" si="43"/>
        <v>36388158.916666642</v>
      </c>
      <c r="G741" s="785">
        <f t="shared" si="44"/>
        <v>6011895.6083919816</v>
      </c>
      <c r="H741" s="786">
        <f t="shared" si="45"/>
        <v>6011895.6083919816</v>
      </c>
      <c r="I741" s="783">
        <f t="shared" si="46"/>
        <v>0</v>
      </c>
      <c r="J741" s="783"/>
      <c r="K741" s="803"/>
      <c r="L741" s="787"/>
      <c r="M741" s="803"/>
      <c r="N741" s="787"/>
      <c r="O741" s="787"/>
    </row>
    <row r="742" spans="3:15">
      <c r="C742" s="779">
        <f>IF(D720="","-",+C741+1)</f>
        <v>2032</v>
      </c>
      <c r="D742" s="727">
        <f t="shared" si="42"/>
        <v>36388158.916666642</v>
      </c>
      <c r="E742" s="780">
        <f t="shared" si="47"/>
        <v>1732769.4722222222</v>
      </c>
      <c r="F742" s="727">
        <f t="shared" si="43"/>
        <v>34655389.444444418</v>
      </c>
      <c r="G742" s="785">
        <f t="shared" si="44"/>
        <v>5812866.4857794344</v>
      </c>
      <c r="H742" s="786">
        <f t="shared" si="45"/>
        <v>5812866.4857794344</v>
      </c>
      <c r="I742" s="783">
        <f t="shared" si="46"/>
        <v>0</v>
      </c>
      <c r="J742" s="783"/>
      <c r="K742" s="803"/>
      <c r="L742" s="787"/>
      <c r="M742" s="803"/>
      <c r="N742" s="787"/>
      <c r="O742" s="787"/>
    </row>
    <row r="743" spans="3:15">
      <c r="C743" s="779">
        <f>IF(D720="","-",+C742+1)</f>
        <v>2033</v>
      </c>
      <c r="D743" s="727">
        <f t="shared" si="42"/>
        <v>34655389.444444418</v>
      </c>
      <c r="E743" s="780">
        <f t="shared" si="47"/>
        <v>1732769.4722222222</v>
      </c>
      <c r="F743" s="727">
        <f t="shared" si="43"/>
        <v>32922619.972222194</v>
      </c>
      <c r="G743" s="785">
        <f t="shared" si="44"/>
        <v>5613837.3631668873</v>
      </c>
      <c r="H743" s="786">
        <f t="shared" si="45"/>
        <v>5613837.3631668873</v>
      </c>
      <c r="I743" s="783">
        <f t="shared" si="46"/>
        <v>0</v>
      </c>
      <c r="J743" s="783"/>
      <c r="K743" s="803"/>
      <c r="L743" s="787"/>
      <c r="M743" s="803"/>
      <c r="N743" s="787"/>
      <c r="O743" s="787"/>
    </row>
    <row r="744" spans="3:15">
      <c r="C744" s="779">
        <f>IF(D720="","-",+C743+1)</f>
        <v>2034</v>
      </c>
      <c r="D744" s="727">
        <f t="shared" si="42"/>
        <v>32922619.972222194</v>
      </c>
      <c r="E744" s="780">
        <f t="shared" si="47"/>
        <v>1732769.4722222222</v>
      </c>
      <c r="F744" s="727">
        <f t="shared" si="43"/>
        <v>31189850.49999997</v>
      </c>
      <c r="G744" s="785">
        <f t="shared" si="44"/>
        <v>5414808.2405543402</v>
      </c>
      <c r="H744" s="786">
        <f t="shared" si="45"/>
        <v>5414808.2405543402</v>
      </c>
      <c r="I744" s="783">
        <f t="shared" si="46"/>
        <v>0</v>
      </c>
      <c r="J744" s="783"/>
      <c r="K744" s="803"/>
      <c r="L744" s="787"/>
      <c r="M744" s="803"/>
      <c r="N744" s="787"/>
      <c r="O744" s="787"/>
    </row>
    <row r="745" spans="3:15">
      <c r="C745" s="779">
        <f>IF(D720="","-",+C744+1)</f>
        <v>2035</v>
      </c>
      <c r="D745" s="727">
        <f t="shared" si="42"/>
        <v>31189850.49999997</v>
      </c>
      <c r="E745" s="780">
        <f t="shared" si="47"/>
        <v>1732769.4722222222</v>
      </c>
      <c r="F745" s="727">
        <f t="shared" si="43"/>
        <v>29457081.027777746</v>
      </c>
      <c r="G745" s="785">
        <f t="shared" si="44"/>
        <v>5215779.1179417921</v>
      </c>
      <c r="H745" s="786">
        <f t="shared" si="45"/>
        <v>5215779.1179417921</v>
      </c>
      <c r="I745" s="783">
        <f t="shared" si="46"/>
        <v>0</v>
      </c>
      <c r="J745" s="783"/>
      <c r="K745" s="803"/>
      <c r="L745" s="787"/>
      <c r="M745" s="803"/>
      <c r="N745" s="787"/>
      <c r="O745" s="787"/>
    </row>
    <row r="746" spans="3:15">
      <c r="C746" s="779">
        <f>IF(D720="","-",+C745+1)</f>
        <v>2036</v>
      </c>
      <c r="D746" s="727">
        <f t="shared" si="42"/>
        <v>29457081.027777746</v>
      </c>
      <c r="E746" s="780">
        <f t="shared" si="47"/>
        <v>1732769.4722222222</v>
      </c>
      <c r="F746" s="727">
        <f t="shared" si="43"/>
        <v>27724311.555555522</v>
      </c>
      <c r="G746" s="785">
        <f t="shared" si="44"/>
        <v>5016749.995329245</v>
      </c>
      <c r="H746" s="786">
        <f t="shared" si="45"/>
        <v>5016749.995329245</v>
      </c>
      <c r="I746" s="783">
        <f t="shared" si="46"/>
        <v>0</v>
      </c>
      <c r="J746" s="783"/>
      <c r="K746" s="803"/>
      <c r="L746" s="787"/>
      <c r="M746" s="803"/>
      <c r="N746" s="787"/>
      <c r="O746" s="787"/>
    </row>
    <row r="747" spans="3:15">
      <c r="C747" s="779">
        <f>IF(D720="","-",+C746+1)</f>
        <v>2037</v>
      </c>
      <c r="D747" s="727">
        <f t="shared" si="42"/>
        <v>27724311.555555522</v>
      </c>
      <c r="E747" s="780">
        <f t="shared" si="47"/>
        <v>1732769.4722222222</v>
      </c>
      <c r="F747" s="727">
        <f t="shared" si="43"/>
        <v>25991542.083333299</v>
      </c>
      <c r="G747" s="785">
        <f t="shared" si="44"/>
        <v>4817720.8727166979</v>
      </c>
      <c r="H747" s="786">
        <f t="shared" si="45"/>
        <v>4817720.8727166979</v>
      </c>
      <c r="I747" s="783">
        <f t="shared" si="46"/>
        <v>0</v>
      </c>
      <c r="J747" s="783"/>
      <c r="K747" s="803"/>
      <c r="L747" s="787"/>
      <c r="M747" s="803"/>
      <c r="N747" s="787"/>
      <c r="O747" s="787"/>
    </row>
    <row r="748" spans="3:15">
      <c r="C748" s="779">
        <f>IF(D720="","-",+C747+1)</f>
        <v>2038</v>
      </c>
      <c r="D748" s="727">
        <f t="shared" si="42"/>
        <v>25991542.083333299</v>
      </c>
      <c r="E748" s="780">
        <f t="shared" si="47"/>
        <v>1732769.4722222222</v>
      </c>
      <c r="F748" s="727">
        <f t="shared" si="43"/>
        <v>24258772.611111075</v>
      </c>
      <c r="G748" s="785">
        <f t="shared" si="44"/>
        <v>4618691.7501041507</v>
      </c>
      <c r="H748" s="786">
        <f t="shared" si="45"/>
        <v>4618691.7501041507</v>
      </c>
      <c r="I748" s="783">
        <f t="shared" si="46"/>
        <v>0</v>
      </c>
      <c r="J748" s="783"/>
      <c r="K748" s="803"/>
      <c r="L748" s="787"/>
      <c r="M748" s="803"/>
      <c r="N748" s="787"/>
      <c r="O748" s="787"/>
    </row>
    <row r="749" spans="3:15">
      <c r="C749" s="779">
        <f>IF(D720="","-",+C748+1)</f>
        <v>2039</v>
      </c>
      <c r="D749" s="727">
        <f t="shared" si="42"/>
        <v>24258772.611111075</v>
      </c>
      <c r="E749" s="780">
        <f t="shared" si="47"/>
        <v>1732769.4722222222</v>
      </c>
      <c r="F749" s="727">
        <f t="shared" si="43"/>
        <v>22526003.138888851</v>
      </c>
      <c r="G749" s="785">
        <f t="shared" si="44"/>
        <v>4419662.6274916036</v>
      </c>
      <c r="H749" s="786">
        <f t="shared" si="45"/>
        <v>4419662.6274916036</v>
      </c>
      <c r="I749" s="783">
        <f t="shared" si="46"/>
        <v>0</v>
      </c>
      <c r="J749" s="783"/>
      <c r="K749" s="803"/>
      <c r="L749" s="787"/>
      <c r="M749" s="803"/>
      <c r="N749" s="787"/>
      <c r="O749" s="787"/>
    </row>
    <row r="750" spans="3:15">
      <c r="C750" s="779">
        <f>IF(D720="","-",+C749+1)</f>
        <v>2040</v>
      </c>
      <c r="D750" s="727">
        <f t="shared" si="42"/>
        <v>22526003.138888851</v>
      </c>
      <c r="E750" s="780">
        <f t="shared" si="47"/>
        <v>1732769.4722222222</v>
      </c>
      <c r="F750" s="727">
        <f t="shared" si="43"/>
        <v>20793233.666666627</v>
      </c>
      <c r="G750" s="785">
        <f t="shared" si="44"/>
        <v>4220633.5048790565</v>
      </c>
      <c r="H750" s="786">
        <f t="shared" si="45"/>
        <v>4220633.5048790565</v>
      </c>
      <c r="I750" s="783">
        <f t="shared" si="46"/>
        <v>0</v>
      </c>
      <c r="J750" s="783"/>
      <c r="K750" s="803"/>
      <c r="L750" s="787"/>
      <c r="M750" s="803"/>
      <c r="N750" s="787"/>
      <c r="O750" s="787"/>
    </row>
    <row r="751" spans="3:15">
      <c r="C751" s="779">
        <f>IF(D720="","-",+C750+1)</f>
        <v>2041</v>
      </c>
      <c r="D751" s="727">
        <f t="shared" si="42"/>
        <v>20793233.666666627</v>
      </c>
      <c r="E751" s="780">
        <f t="shared" si="47"/>
        <v>1732769.4722222222</v>
      </c>
      <c r="F751" s="727">
        <f t="shared" si="43"/>
        <v>19060464.194444403</v>
      </c>
      <c r="G751" s="785">
        <f t="shared" si="44"/>
        <v>4021604.3822665093</v>
      </c>
      <c r="H751" s="786">
        <f t="shared" si="45"/>
        <v>4021604.3822665093</v>
      </c>
      <c r="I751" s="783">
        <f t="shared" si="46"/>
        <v>0</v>
      </c>
      <c r="J751" s="783"/>
      <c r="K751" s="803"/>
      <c r="L751" s="787"/>
      <c r="M751" s="803"/>
      <c r="N751" s="787"/>
      <c r="O751" s="787"/>
    </row>
    <row r="752" spans="3:15">
      <c r="C752" s="779">
        <f>IF(D720="","-",+C751+1)</f>
        <v>2042</v>
      </c>
      <c r="D752" s="727">
        <f t="shared" si="42"/>
        <v>19060464.194444403</v>
      </c>
      <c r="E752" s="780">
        <f t="shared" si="47"/>
        <v>1732769.4722222222</v>
      </c>
      <c r="F752" s="727">
        <f t="shared" si="43"/>
        <v>17327694.722222179</v>
      </c>
      <c r="G752" s="785">
        <f t="shared" si="44"/>
        <v>3822575.2596539618</v>
      </c>
      <c r="H752" s="786">
        <f t="shared" si="45"/>
        <v>3822575.2596539618</v>
      </c>
      <c r="I752" s="783">
        <f t="shared" si="46"/>
        <v>0</v>
      </c>
      <c r="J752" s="783"/>
      <c r="K752" s="803"/>
      <c r="L752" s="787"/>
      <c r="M752" s="803"/>
      <c r="N752" s="787"/>
      <c r="O752" s="787"/>
    </row>
    <row r="753" spans="3:15">
      <c r="C753" s="779">
        <f>IF(D720="","-",+C752+1)</f>
        <v>2043</v>
      </c>
      <c r="D753" s="727">
        <f t="shared" si="42"/>
        <v>17327694.722222179</v>
      </c>
      <c r="E753" s="780">
        <f t="shared" si="47"/>
        <v>1732769.4722222222</v>
      </c>
      <c r="F753" s="727">
        <f t="shared" si="43"/>
        <v>15594925.249999957</v>
      </c>
      <c r="G753" s="785">
        <f t="shared" si="44"/>
        <v>3623546.1370414142</v>
      </c>
      <c r="H753" s="786">
        <f t="shared" si="45"/>
        <v>3623546.1370414142</v>
      </c>
      <c r="I753" s="783">
        <f t="shared" si="46"/>
        <v>0</v>
      </c>
      <c r="J753" s="783"/>
      <c r="K753" s="803"/>
      <c r="L753" s="787"/>
      <c r="M753" s="803"/>
      <c r="N753" s="787"/>
      <c r="O753" s="787"/>
    </row>
    <row r="754" spans="3:15">
      <c r="C754" s="779">
        <f>IF(D720="","-",+C753+1)</f>
        <v>2044</v>
      </c>
      <c r="D754" s="727">
        <f t="shared" si="42"/>
        <v>15594925.249999957</v>
      </c>
      <c r="E754" s="780">
        <f t="shared" si="47"/>
        <v>1732769.4722222222</v>
      </c>
      <c r="F754" s="727">
        <f t="shared" si="43"/>
        <v>13862155.777777735</v>
      </c>
      <c r="G754" s="781">
        <f t="shared" si="44"/>
        <v>3424517.0144288675</v>
      </c>
      <c r="H754" s="786">
        <f t="shared" si="45"/>
        <v>3424517.0144288675</v>
      </c>
      <c r="I754" s="783">
        <f t="shared" si="46"/>
        <v>0</v>
      </c>
      <c r="J754" s="783"/>
      <c r="K754" s="803"/>
      <c r="L754" s="787"/>
      <c r="M754" s="803"/>
      <c r="N754" s="787"/>
      <c r="O754" s="787"/>
    </row>
    <row r="755" spans="3:15">
      <c r="C755" s="779">
        <f>IF(D720="","-",+C754+1)</f>
        <v>2045</v>
      </c>
      <c r="D755" s="727">
        <f t="shared" si="42"/>
        <v>13862155.777777735</v>
      </c>
      <c r="E755" s="780">
        <f t="shared" si="47"/>
        <v>1732769.4722222222</v>
      </c>
      <c r="F755" s="727">
        <f t="shared" si="43"/>
        <v>12129386.305555513</v>
      </c>
      <c r="G755" s="785">
        <f t="shared" si="44"/>
        <v>3225487.8918163204</v>
      </c>
      <c r="H755" s="786">
        <f t="shared" si="45"/>
        <v>3225487.8918163204</v>
      </c>
      <c r="I755" s="783">
        <f t="shared" si="46"/>
        <v>0</v>
      </c>
      <c r="J755" s="783"/>
      <c r="K755" s="803"/>
      <c r="L755" s="787"/>
      <c r="M755" s="803"/>
      <c r="N755" s="787"/>
      <c r="O755" s="787"/>
    </row>
    <row r="756" spans="3:15">
      <c r="C756" s="779">
        <f>IF(D720="","-",+C755+1)</f>
        <v>2046</v>
      </c>
      <c r="D756" s="727">
        <f t="shared" si="42"/>
        <v>12129386.305555513</v>
      </c>
      <c r="E756" s="780">
        <f t="shared" si="47"/>
        <v>1732769.4722222222</v>
      </c>
      <c r="F756" s="727">
        <f t="shared" si="43"/>
        <v>10396616.833333291</v>
      </c>
      <c r="G756" s="785">
        <f t="shared" si="44"/>
        <v>3026458.7692037737</v>
      </c>
      <c r="H756" s="786">
        <f t="shared" si="45"/>
        <v>3026458.7692037737</v>
      </c>
      <c r="I756" s="783">
        <f t="shared" si="46"/>
        <v>0</v>
      </c>
      <c r="J756" s="783"/>
      <c r="K756" s="803"/>
      <c r="L756" s="787"/>
      <c r="M756" s="803"/>
      <c r="N756" s="787"/>
      <c r="O756" s="787"/>
    </row>
    <row r="757" spans="3:15">
      <c r="C757" s="779">
        <f>IF(D720="","-",+C756+1)</f>
        <v>2047</v>
      </c>
      <c r="D757" s="727">
        <f t="shared" si="42"/>
        <v>10396616.833333291</v>
      </c>
      <c r="E757" s="780">
        <f t="shared" si="47"/>
        <v>1732769.4722222222</v>
      </c>
      <c r="F757" s="727">
        <f t="shared" si="43"/>
        <v>8663847.3611110691</v>
      </c>
      <c r="G757" s="785">
        <f t="shared" si="44"/>
        <v>2827429.6465912261</v>
      </c>
      <c r="H757" s="786">
        <f t="shared" si="45"/>
        <v>2827429.6465912261</v>
      </c>
      <c r="I757" s="783">
        <f t="shared" si="46"/>
        <v>0</v>
      </c>
      <c r="J757" s="783"/>
      <c r="K757" s="803"/>
      <c r="L757" s="787"/>
      <c r="M757" s="803"/>
      <c r="N757" s="787"/>
      <c r="O757" s="787"/>
    </row>
    <row r="758" spans="3:15">
      <c r="C758" s="779">
        <f>IF(D720="","-",+C757+1)</f>
        <v>2048</v>
      </c>
      <c r="D758" s="727">
        <f t="shared" si="42"/>
        <v>8663847.3611110691</v>
      </c>
      <c r="E758" s="780">
        <f t="shared" si="47"/>
        <v>1732769.4722222222</v>
      </c>
      <c r="F758" s="727">
        <f t="shared" si="43"/>
        <v>6931077.8888888471</v>
      </c>
      <c r="G758" s="785">
        <f t="shared" si="44"/>
        <v>2628400.5239786794</v>
      </c>
      <c r="H758" s="786">
        <f t="shared" si="45"/>
        <v>2628400.5239786794</v>
      </c>
      <c r="I758" s="783">
        <f t="shared" si="46"/>
        <v>0</v>
      </c>
      <c r="J758" s="783"/>
      <c r="K758" s="803"/>
      <c r="L758" s="787"/>
      <c r="M758" s="803"/>
      <c r="N758" s="787"/>
      <c r="O758" s="787"/>
    </row>
    <row r="759" spans="3:15">
      <c r="C759" s="779">
        <f>IF(D720="","-",+C758+1)</f>
        <v>2049</v>
      </c>
      <c r="D759" s="727">
        <f t="shared" si="42"/>
        <v>6931077.8888888471</v>
      </c>
      <c r="E759" s="780">
        <f t="shared" si="47"/>
        <v>1732769.4722222222</v>
      </c>
      <c r="F759" s="727">
        <f t="shared" si="43"/>
        <v>5198308.4166666251</v>
      </c>
      <c r="G759" s="785">
        <f t="shared" si="44"/>
        <v>2429371.4013661323</v>
      </c>
      <c r="H759" s="786">
        <f t="shared" si="45"/>
        <v>2429371.4013661323</v>
      </c>
      <c r="I759" s="783">
        <f t="shared" si="46"/>
        <v>0</v>
      </c>
      <c r="J759" s="783"/>
      <c r="K759" s="803"/>
      <c r="L759" s="787"/>
      <c r="M759" s="803"/>
      <c r="N759" s="787"/>
      <c r="O759" s="787"/>
    </row>
    <row r="760" spans="3:15">
      <c r="C760" s="779">
        <f>IF(D720="","-",+C759+1)</f>
        <v>2050</v>
      </c>
      <c r="D760" s="727">
        <f t="shared" si="42"/>
        <v>5198308.4166666251</v>
      </c>
      <c r="E760" s="780">
        <f t="shared" si="47"/>
        <v>1732769.4722222222</v>
      </c>
      <c r="F760" s="727">
        <f t="shared" si="43"/>
        <v>3465538.9444444031</v>
      </c>
      <c r="G760" s="785">
        <f t="shared" si="44"/>
        <v>2230342.2787535852</v>
      </c>
      <c r="H760" s="786">
        <f t="shared" si="45"/>
        <v>2230342.2787535852</v>
      </c>
      <c r="I760" s="783">
        <f t="shared" si="46"/>
        <v>0</v>
      </c>
      <c r="J760" s="783"/>
      <c r="K760" s="803"/>
      <c r="L760" s="787"/>
      <c r="M760" s="803"/>
      <c r="N760" s="787"/>
      <c r="O760" s="787"/>
    </row>
    <row r="761" spans="3:15">
      <c r="C761" s="779">
        <f>IF(D720="","-",+C760+1)</f>
        <v>2051</v>
      </c>
      <c r="D761" s="727">
        <f t="shared" si="42"/>
        <v>3465538.9444444031</v>
      </c>
      <c r="E761" s="780">
        <f t="shared" si="47"/>
        <v>1732769.4722222222</v>
      </c>
      <c r="F761" s="727">
        <f t="shared" si="43"/>
        <v>1732769.4722221808</v>
      </c>
      <c r="G761" s="785">
        <f t="shared" si="44"/>
        <v>2031313.1561410381</v>
      </c>
      <c r="H761" s="786">
        <f t="shared" si="45"/>
        <v>2031313.1561410381</v>
      </c>
      <c r="I761" s="783">
        <f t="shared" si="46"/>
        <v>0</v>
      </c>
      <c r="J761" s="783"/>
      <c r="K761" s="803"/>
      <c r="L761" s="787"/>
      <c r="M761" s="803"/>
      <c r="N761" s="787"/>
      <c r="O761" s="787"/>
    </row>
    <row r="762" spans="3:15">
      <c r="C762" s="779">
        <f>IF(D720="","-",+C761+1)</f>
        <v>2052</v>
      </c>
      <c r="D762" s="727">
        <f t="shared" si="42"/>
        <v>1732769.4722221808</v>
      </c>
      <c r="E762" s="780">
        <f t="shared" si="47"/>
        <v>1732769.4722221808</v>
      </c>
      <c r="F762" s="727">
        <f t="shared" si="43"/>
        <v>0</v>
      </c>
      <c r="G762" s="785">
        <f t="shared" si="44"/>
        <v>1832284.033528452</v>
      </c>
      <c r="H762" s="786">
        <f t="shared" si="45"/>
        <v>1832284.033528452</v>
      </c>
      <c r="I762" s="783">
        <f t="shared" si="46"/>
        <v>0</v>
      </c>
      <c r="J762" s="783"/>
      <c r="K762" s="803"/>
      <c r="L762" s="787"/>
      <c r="M762" s="803"/>
      <c r="N762" s="787"/>
      <c r="O762" s="787"/>
    </row>
    <row r="763" spans="3:15">
      <c r="C763" s="779">
        <f>IF(D720="","-",+C762+1)</f>
        <v>2053</v>
      </c>
      <c r="D763" s="727">
        <f t="shared" si="42"/>
        <v>0</v>
      </c>
      <c r="E763" s="780">
        <f t="shared" si="47"/>
        <v>0</v>
      </c>
      <c r="F763" s="727">
        <f t="shared" si="43"/>
        <v>0</v>
      </c>
      <c r="G763" s="785">
        <f t="shared" si="44"/>
        <v>0</v>
      </c>
      <c r="H763" s="786">
        <f t="shared" si="45"/>
        <v>0</v>
      </c>
      <c r="I763" s="783">
        <f t="shared" si="46"/>
        <v>0</v>
      </c>
      <c r="J763" s="783"/>
      <c r="K763" s="803"/>
      <c r="L763" s="787"/>
      <c r="M763" s="803"/>
      <c r="N763" s="787"/>
      <c r="O763" s="787"/>
    </row>
    <row r="764" spans="3:15">
      <c r="C764" s="779">
        <f>IF(D720="","-",+C763+1)</f>
        <v>2054</v>
      </c>
      <c r="D764" s="727">
        <f t="shared" si="42"/>
        <v>0</v>
      </c>
      <c r="E764" s="780">
        <f t="shared" si="47"/>
        <v>0</v>
      </c>
      <c r="F764" s="727">
        <f t="shared" si="43"/>
        <v>0</v>
      </c>
      <c r="G764" s="785">
        <f t="shared" si="44"/>
        <v>0</v>
      </c>
      <c r="H764" s="786">
        <f t="shared" si="45"/>
        <v>0</v>
      </c>
      <c r="I764" s="783">
        <f t="shared" si="46"/>
        <v>0</v>
      </c>
      <c r="J764" s="783"/>
      <c r="K764" s="803"/>
      <c r="L764" s="787"/>
      <c r="M764" s="803"/>
      <c r="N764" s="787"/>
      <c r="O764" s="787"/>
    </row>
    <row r="765" spans="3:15">
      <c r="C765" s="779">
        <f>IF(D720="","-",+C764+1)</f>
        <v>2055</v>
      </c>
      <c r="D765" s="727">
        <f t="shared" si="42"/>
        <v>0</v>
      </c>
      <c r="E765" s="780">
        <f t="shared" si="47"/>
        <v>0</v>
      </c>
      <c r="F765" s="727">
        <f t="shared" si="43"/>
        <v>0</v>
      </c>
      <c r="G765" s="785">
        <f t="shared" si="44"/>
        <v>0</v>
      </c>
      <c r="H765" s="786">
        <f t="shared" si="45"/>
        <v>0</v>
      </c>
      <c r="I765" s="783">
        <f t="shared" si="46"/>
        <v>0</v>
      </c>
      <c r="J765" s="783"/>
      <c r="K765" s="803"/>
      <c r="L765" s="787"/>
      <c r="M765" s="803"/>
      <c r="N765" s="787"/>
      <c r="O765" s="787"/>
    </row>
    <row r="766" spans="3:15">
      <c r="C766" s="779">
        <f>IF(D720="","-",+C765+1)</f>
        <v>2056</v>
      </c>
      <c r="D766" s="727">
        <f t="shared" si="42"/>
        <v>0</v>
      </c>
      <c r="E766" s="780">
        <f t="shared" si="47"/>
        <v>0</v>
      </c>
      <c r="F766" s="727">
        <f t="shared" si="43"/>
        <v>0</v>
      </c>
      <c r="G766" s="785">
        <f t="shared" si="44"/>
        <v>0</v>
      </c>
      <c r="H766" s="786">
        <f t="shared" si="45"/>
        <v>0</v>
      </c>
      <c r="I766" s="783">
        <f t="shared" si="46"/>
        <v>0</v>
      </c>
      <c r="J766" s="783"/>
      <c r="K766" s="803"/>
      <c r="L766" s="787"/>
      <c r="M766" s="803"/>
      <c r="N766" s="787"/>
      <c r="O766" s="787"/>
    </row>
    <row r="767" spans="3:15">
      <c r="C767" s="779">
        <f>IF(D720="","-",+C766+1)</f>
        <v>2057</v>
      </c>
      <c r="D767" s="727">
        <f t="shared" si="42"/>
        <v>0</v>
      </c>
      <c r="E767" s="780">
        <f t="shared" si="47"/>
        <v>0</v>
      </c>
      <c r="F767" s="727">
        <f t="shared" si="43"/>
        <v>0</v>
      </c>
      <c r="G767" s="785">
        <f t="shared" si="44"/>
        <v>0</v>
      </c>
      <c r="H767" s="786">
        <f t="shared" si="45"/>
        <v>0</v>
      </c>
      <c r="I767" s="783">
        <f t="shared" si="46"/>
        <v>0</v>
      </c>
      <c r="J767" s="783"/>
      <c r="K767" s="803"/>
      <c r="L767" s="787"/>
      <c r="M767" s="803"/>
      <c r="N767" s="787"/>
      <c r="O767" s="787"/>
    </row>
    <row r="768" spans="3:15">
      <c r="C768" s="779">
        <f>IF(D720="","-",+C767+1)</f>
        <v>2058</v>
      </c>
      <c r="D768" s="727">
        <f t="shared" si="42"/>
        <v>0</v>
      </c>
      <c r="E768" s="780">
        <f t="shared" si="47"/>
        <v>0</v>
      </c>
      <c r="F768" s="727">
        <f t="shared" si="43"/>
        <v>0</v>
      </c>
      <c r="G768" s="785">
        <f t="shared" si="44"/>
        <v>0</v>
      </c>
      <c r="H768" s="786">
        <f t="shared" si="45"/>
        <v>0</v>
      </c>
      <c r="I768" s="783">
        <f t="shared" si="46"/>
        <v>0</v>
      </c>
      <c r="J768" s="783"/>
      <c r="K768" s="803"/>
      <c r="L768" s="787"/>
      <c r="M768" s="803"/>
      <c r="N768" s="787"/>
      <c r="O768" s="787"/>
    </row>
    <row r="769" spans="3:15">
      <c r="C769" s="779">
        <f>IF(D720="","-",+C768+1)</f>
        <v>2059</v>
      </c>
      <c r="D769" s="727">
        <f t="shared" si="42"/>
        <v>0</v>
      </c>
      <c r="E769" s="780">
        <f t="shared" si="47"/>
        <v>0</v>
      </c>
      <c r="F769" s="727">
        <f t="shared" si="43"/>
        <v>0</v>
      </c>
      <c r="G769" s="785">
        <f t="shared" si="44"/>
        <v>0</v>
      </c>
      <c r="H769" s="786">
        <f t="shared" si="45"/>
        <v>0</v>
      </c>
      <c r="I769" s="783">
        <f t="shared" si="46"/>
        <v>0</v>
      </c>
      <c r="J769" s="783"/>
      <c r="K769" s="803"/>
      <c r="L769" s="787"/>
      <c r="M769" s="803"/>
      <c r="N769" s="787"/>
      <c r="O769" s="787"/>
    </row>
    <row r="770" spans="3:15">
      <c r="C770" s="779">
        <f>IF(D720="","-",+C769+1)</f>
        <v>2060</v>
      </c>
      <c r="D770" s="727">
        <f t="shared" si="42"/>
        <v>0</v>
      </c>
      <c r="E770" s="780">
        <f t="shared" si="47"/>
        <v>0</v>
      </c>
      <c r="F770" s="727">
        <f t="shared" si="43"/>
        <v>0</v>
      </c>
      <c r="G770" s="785">
        <f t="shared" si="44"/>
        <v>0</v>
      </c>
      <c r="H770" s="786">
        <f t="shared" si="45"/>
        <v>0</v>
      </c>
      <c r="I770" s="783">
        <f t="shared" si="46"/>
        <v>0</v>
      </c>
      <c r="J770" s="783"/>
      <c r="K770" s="803"/>
      <c r="L770" s="787"/>
      <c r="M770" s="803"/>
      <c r="N770" s="787"/>
      <c r="O770" s="787"/>
    </row>
    <row r="771" spans="3:15">
      <c r="C771" s="779">
        <f>IF(D720="","-",+C770+1)</f>
        <v>2061</v>
      </c>
      <c r="D771" s="727">
        <f t="shared" si="42"/>
        <v>0</v>
      </c>
      <c r="E771" s="780">
        <f t="shared" si="47"/>
        <v>0</v>
      </c>
      <c r="F771" s="727">
        <f t="shared" si="43"/>
        <v>0</v>
      </c>
      <c r="G771" s="785">
        <f t="shared" si="44"/>
        <v>0</v>
      </c>
      <c r="H771" s="786">
        <f t="shared" si="45"/>
        <v>0</v>
      </c>
      <c r="I771" s="783">
        <f t="shared" si="46"/>
        <v>0</v>
      </c>
      <c r="J771" s="783"/>
      <c r="K771" s="803"/>
      <c r="L771" s="787"/>
      <c r="M771" s="803"/>
      <c r="N771" s="787"/>
      <c r="O771" s="787"/>
    </row>
    <row r="772" spans="3:15">
      <c r="C772" s="779">
        <f>IF(D720="","-",+C771+1)</f>
        <v>2062</v>
      </c>
      <c r="D772" s="727">
        <f t="shared" si="42"/>
        <v>0</v>
      </c>
      <c r="E772" s="780">
        <f t="shared" si="47"/>
        <v>0</v>
      </c>
      <c r="F772" s="727">
        <f t="shared" si="43"/>
        <v>0</v>
      </c>
      <c r="G772" s="785">
        <f t="shared" si="44"/>
        <v>0</v>
      </c>
      <c r="H772" s="786">
        <f t="shared" si="45"/>
        <v>0</v>
      </c>
      <c r="I772" s="783">
        <f t="shared" si="46"/>
        <v>0</v>
      </c>
      <c r="J772" s="783"/>
      <c r="K772" s="803"/>
      <c r="L772" s="787"/>
      <c r="M772" s="803"/>
      <c r="N772" s="787"/>
      <c r="O772" s="787"/>
    </row>
    <row r="773" spans="3:15">
      <c r="C773" s="779">
        <f>IF(D720="","-",+C772+1)</f>
        <v>2063</v>
      </c>
      <c r="D773" s="727">
        <f t="shared" si="42"/>
        <v>0</v>
      </c>
      <c r="E773" s="780">
        <f t="shared" si="47"/>
        <v>0</v>
      </c>
      <c r="F773" s="727">
        <f t="shared" si="43"/>
        <v>0</v>
      </c>
      <c r="G773" s="785">
        <f t="shared" si="44"/>
        <v>0</v>
      </c>
      <c r="H773" s="786">
        <f t="shared" si="45"/>
        <v>0</v>
      </c>
      <c r="I773" s="783">
        <f t="shared" si="46"/>
        <v>0</v>
      </c>
      <c r="J773" s="783"/>
      <c r="K773" s="803"/>
      <c r="L773" s="787"/>
      <c r="M773" s="803"/>
      <c r="N773" s="787"/>
      <c r="O773" s="787"/>
    </row>
    <row r="774" spans="3:15">
      <c r="C774" s="779">
        <f>IF(D720="","-",+C773+1)</f>
        <v>2064</v>
      </c>
      <c r="D774" s="727">
        <f t="shared" si="42"/>
        <v>0</v>
      </c>
      <c r="E774" s="780">
        <f t="shared" si="47"/>
        <v>0</v>
      </c>
      <c r="F774" s="727">
        <f t="shared" si="43"/>
        <v>0</v>
      </c>
      <c r="G774" s="785">
        <f t="shared" si="44"/>
        <v>0</v>
      </c>
      <c r="H774" s="786">
        <f t="shared" si="45"/>
        <v>0</v>
      </c>
      <c r="I774" s="783">
        <f t="shared" si="46"/>
        <v>0</v>
      </c>
      <c r="J774" s="783"/>
      <c r="K774" s="803"/>
      <c r="L774" s="787"/>
      <c r="M774" s="803"/>
      <c r="N774" s="787"/>
      <c r="O774" s="787"/>
    </row>
    <row r="775" spans="3:15">
      <c r="C775" s="779">
        <f>IF(D720="","-",+C774+1)</f>
        <v>2065</v>
      </c>
      <c r="D775" s="727">
        <f t="shared" si="42"/>
        <v>0</v>
      </c>
      <c r="E775" s="780">
        <f t="shared" si="47"/>
        <v>0</v>
      </c>
      <c r="F775" s="727">
        <f t="shared" si="43"/>
        <v>0</v>
      </c>
      <c r="G775" s="785">
        <f t="shared" si="44"/>
        <v>0</v>
      </c>
      <c r="H775" s="786">
        <f t="shared" si="45"/>
        <v>0</v>
      </c>
      <c r="I775" s="783">
        <f t="shared" si="46"/>
        <v>0</v>
      </c>
      <c r="J775" s="783"/>
      <c r="K775" s="803"/>
      <c r="L775" s="787"/>
      <c r="M775" s="803"/>
      <c r="N775" s="787"/>
      <c r="O775" s="787"/>
    </row>
    <row r="776" spans="3:15">
      <c r="C776" s="779">
        <f>IF(D720="","-",+C775+1)</f>
        <v>2066</v>
      </c>
      <c r="D776" s="727">
        <f t="shared" si="42"/>
        <v>0</v>
      </c>
      <c r="E776" s="780">
        <f t="shared" si="47"/>
        <v>0</v>
      </c>
      <c r="F776" s="727">
        <f t="shared" si="43"/>
        <v>0</v>
      </c>
      <c r="G776" s="785">
        <f t="shared" si="44"/>
        <v>0</v>
      </c>
      <c r="H776" s="786">
        <f t="shared" si="45"/>
        <v>0</v>
      </c>
      <c r="I776" s="783">
        <f t="shared" si="46"/>
        <v>0</v>
      </c>
      <c r="J776" s="783"/>
      <c r="K776" s="803"/>
      <c r="L776" s="787"/>
      <c r="M776" s="803"/>
      <c r="N776" s="787"/>
      <c r="O776" s="787"/>
    </row>
    <row r="777" spans="3:15">
      <c r="C777" s="779">
        <f>IF(D720="","-",+C776+1)</f>
        <v>2067</v>
      </c>
      <c r="D777" s="727">
        <f t="shared" si="42"/>
        <v>0</v>
      </c>
      <c r="E777" s="780">
        <f t="shared" si="47"/>
        <v>0</v>
      </c>
      <c r="F777" s="727">
        <f t="shared" si="43"/>
        <v>0</v>
      </c>
      <c r="G777" s="785">
        <f t="shared" si="44"/>
        <v>0</v>
      </c>
      <c r="H777" s="786">
        <f t="shared" si="45"/>
        <v>0</v>
      </c>
      <c r="I777" s="783">
        <f t="shared" si="46"/>
        <v>0</v>
      </c>
      <c r="J777" s="783"/>
      <c r="K777" s="803"/>
      <c r="L777" s="787"/>
      <c r="M777" s="803"/>
      <c r="N777" s="787"/>
      <c r="O777" s="787"/>
    </row>
    <row r="778" spans="3:15">
      <c r="C778" s="779">
        <f>IF(D720="","-",+C777+1)</f>
        <v>2068</v>
      </c>
      <c r="D778" s="727">
        <f t="shared" si="42"/>
        <v>0</v>
      </c>
      <c r="E778" s="780">
        <f t="shared" si="47"/>
        <v>0</v>
      </c>
      <c r="F778" s="727">
        <f t="shared" si="43"/>
        <v>0</v>
      </c>
      <c r="G778" s="785">
        <f t="shared" si="44"/>
        <v>0</v>
      </c>
      <c r="H778" s="786">
        <f t="shared" si="45"/>
        <v>0</v>
      </c>
      <c r="I778" s="783">
        <f t="shared" si="46"/>
        <v>0</v>
      </c>
      <c r="J778" s="783"/>
      <c r="K778" s="803"/>
      <c r="L778" s="787"/>
      <c r="M778" s="803"/>
      <c r="N778" s="787"/>
      <c r="O778" s="787"/>
    </row>
    <row r="779" spans="3:15">
      <c r="C779" s="779">
        <f>IF(D720="","-",+C778+1)</f>
        <v>2069</v>
      </c>
      <c r="D779" s="727">
        <f t="shared" si="42"/>
        <v>0</v>
      </c>
      <c r="E779" s="780">
        <f t="shared" si="47"/>
        <v>0</v>
      </c>
      <c r="F779" s="727">
        <f t="shared" si="43"/>
        <v>0</v>
      </c>
      <c r="G779" s="785">
        <f t="shared" si="44"/>
        <v>0</v>
      </c>
      <c r="H779" s="786">
        <f t="shared" si="45"/>
        <v>0</v>
      </c>
      <c r="I779" s="783">
        <f t="shared" si="46"/>
        <v>0</v>
      </c>
      <c r="J779" s="783"/>
      <c r="K779" s="803"/>
      <c r="L779" s="787"/>
      <c r="M779" s="803"/>
      <c r="N779" s="787"/>
      <c r="O779" s="787"/>
    </row>
    <row r="780" spans="3:15">
      <c r="C780" s="779">
        <f>IF(D720="","-",+C779+1)</f>
        <v>2070</v>
      </c>
      <c r="D780" s="727">
        <f t="shared" si="42"/>
        <v>0</v>
      </c>
      <c r="E780" s="780">
        <f t="shared" si="47"/>
        <v>0</v>
      </c>
      <c r="F780" s="727">
        <f t="shared" si="43"/>
        <v>0</v>
      </c>
      <c r="G780" s="785">
        <f t="shared" si="44"/>
        <v>0</v>
      </c>
      <c r="H780" s="786">
        <f t="shared" si="45"/>
        <v>0</v>
      </c>
      <c r="I780" s="783">
        <f t="shared" si="46"/>
        <v>0</v>
      </c>
      <c r="J780" s="783"/>
      <c r="K780" s="803"/>
      <c r="L780" s="787"/>
      <c r="M780" s="803"/>
      <c r="N780" s="787"/>
      <c r="O780" s="787"/>
    </row>
    <row r="781" spans="3:15">
      <c r="C781" s="779">
        <f>IF(D720="","-",+C780+1)</f>
        <v>2071</v>
      </c>
      <c r="D781" s="727">
        <f t="shared" si="42"/>
        <v>0</v>
      </c>
      <c r="E781" s="780">
        <f t="shared" si="47"/>
        <v>0</v>
      </c>
      <c r="F781" s="727">
        <f t="shared" si="43"/>
        <v>0</v>
      </c>
      <c r="G781" s="785">
        <f t="shared" si="44"/>
        <v>0</v>
      </c>
      <c r="H781" s="786">
        <f t="shared" si="45"/>
        <v>0</v>
      </c>
      <c r="I781" s="783">
        <f t="shared" si="46"/>
        <v>0</v>
      </c>
      <c r="J781" s="783"/>
      <c r="K781" s="803"/>
      <c r="L781" s="787"/>
      <c r="M781" s="803"/>
      <c r="N781" s="787"/>
      <c r="O781" s="787"/>
    </row>
    <row r="782" spans="3:15">
      <c r="C782" s="779">
        <f>IF(D720="","-",+C781+1)</f>
        <v>2072</v>
      </c>
      <c r="D782" s="727">
        <f t="shared" si="42"/>
        <v>0</v>
      </c>
      <c r="E782" s="780">
        <f t="shared" si="47"/>
        <v>0</v>
      </c>
      <c r="F782" s="727">
        <f t="shared" si="43"/>
        <v>0</v>
      </c>
      <c r="G782" s="785">
        <f t="shared" si="44"/>
        <v>0</v>
      </c>
      <c r="H782" s="786">
        <f t="shared" si="45"/>
        <v>0</v>
      </c>
      <c r="I782" s="783">
        <f t="shared" si="46"/>
        <v>0</v>
      </c>
      <c r="J782" s="783"/>
      <c r="K782" s="803"/>
      <c r="L782" s="787"/>
      <c r="M782" s="803"/>
      <c r="N782" s="787"/>
      <c r="O782" s="787"/>
    </row>
    <row r="783" spans="3:15">
      <c r="C783" s="779">
        <f>IF(D720="","-",+C782+1)</f>
        <v>2073</v>
      </c>
      <c r="D783" s="727">
        <f t="shared" si="42"/>
        <v>0</v>
      </c>
      <c r="E783" s="780">
        <f t="shared" si="47"/>
        <v>0</v>
      </c>
      <c r="F783" s="727">
        <f t="shared" si="43"/>
        <v>0</v>
      </c>
      <c r="G783" s="785">
        <f t="shared" si="44"/>
        <v>0</v>
      </c>
      <c r="H783" s="786">
        <f t="shared" si="45"/>
        <v>0</v>
      </c>
      <c r="I783" s="783">
        <f t="shared" si="46"/>
        <v>0</v>
      </c>
      <c r="J783" s="783"/>
      <c r="K783" s="803"/>
      <c r="L783" s="787"/>
      <c r="M783" s="803"/>
      <c r="N783" s="787"/>
      <c r="O783" s="787"/>
    </row>
    <row r="784" spans="3:15">
      <c r="C784" s="779">
        <f>IF(D720="","-",+C783+1)</f>
        <v>2074</v>
      </c>
      <c r="D784" s="727">
        <f t="shared" si="42"/>
        <v>0</v>
      </c>
      <c r="E784" s="780">
        <f t="shared" si="47"/>
        <v>0</v>
      </c>
      <c r="F784" s="727">
        <f t="shared" si="43"/>
        <v>0</v>
      </c>
      <c r="G784" s="785">
        <f t="shared" si="44"/>
        <v>0</v>
      </c>
      <c r="H784" s="786">
        <f t="shared" si="45"/>
        <v>0</v>
      </c>
      <c r="I784" s="783">
        <f t="shared" si="46"/>
        <v>0</v>
      </c>
      <c r="J784" s="783"/>
      <c r="K784" s="803"/>
      <c r="L784" s="787"/>
      <c r="M784" s="803"/>
      <c r="N784" s="787"/>
      <c r="O784" s="787"/>
    </row>
    <row r="785" spans="1:16" ht="13.5" thickBot="1">
      <c r="C785" s="789">
        <f>IF(D720="","-",+C784+1)</f>
        <v>2075</v>
      </c>
      <c r="D785" s="790">
        <f t="shared" si="42"/>
        <v>0</v>
      </c>
      <c r="E785" s="791">
        <f t="shared" si="47"/>
        <v>0</v>
      </c>
      <c r="F785" s="790">
        <f t="shared" si="43"/>
        <v>0</v>
      </c>
      <c r="G785" s="792">
        <f t="shared" si="44"/>
        <v>0</v>
      </c>
      <c r="H785" s="792">
        <f t="shared" si="45"/>
        <v>0</v>
      </c>
      <c r="I785" s="793">
        <f t="shared" si="46"/>
        <v>0</v>
      </c>
      <c r="J785" s="783"/>
      <c r="K785" s="804"/>
      <c r="L785" s="794"/>
      <c r="M785" s="804"/>
      <c r="N785" s="794"/>
      <c r="O785" s="794"/>
    </row>
    <row r="786" spans="1:16">
      <c r="C786" s="727" t="s">
        <v>93</v>
      </c>
      <c r="D786" s="721"/>
      <c r="E786" s="721">
        <f>SUM(E726:E785)</f>
        <v>62379701</v>
      </c>
      <c r="F786" s="721"/>
      <c r="G786" s="721">
        <f>SUM(G726:G785)</f>
        <v>198515620.86698201</v>
      </c>
      <c r="H786" s="721">
        <f>SUM(H726:H785)</f>
        <v>198515620.86698201</v>
      </c>
      <c r="I786" s="721">
        <f>SUM(I726:I785)</f>
        <v>0</v>
      </c>
      <c r="J786" s="721"/>
      <c r="K786" s="721"/>
      <c r="L786" s="721"/>
      <c r="M786" s="721"/>
      <c r="N786" s="721"/>
      <c r="O786" s="308"/>
    </row>
    <row r="787" spans="1:16">
      <c r="D787" s="529"/>
      <c r="E787" s="308"/>
      <c r="F787" s="308"/>
      <c r="G787" s="308"/>
      <c r="H787" s="699"/>
      <c r="I787" s="699"/>
      <c r="J787" s="721"/>
      <c r="K787" s="699"/>
      <c r="L787" s="699"/>
      <c r="M787" s="699"/>
      <c r="N787" s="699"/>
      <c r="O787" s="308"/>
    </row>
    <row r="788" spans="1:16">
      <c r="C788" s="308" t="s">
        <v>15</v>
      </c>
      <c r="D788" s="529"/>
      <c r="E788" s="308"/>
      <c r="F788" s="308"/>
      <c r="G788" s="308"/>
      <c r="H788" s="699"/>
      <c r="I788" s="699"/>
      <c r="J788" s="721"/>
      <c r="K788" s="699"/>
      <c r="L788" s="699"/>
      <c r="M788" s="699"/>
      <c r="N788" s="699"/>
      <c r="O788" s="308"/>
    </row>
    <row r="789" spans="1:16">
      <c r="C789" s="308"/>
      <c r="D789" s="529"/>
      <c r="E789" s="308"/>
      <c r="F789" s="308"/>
      <c r="G789" s="308"/>
      <c r="H789" s="699"/>
      <c r="I789" s="699"/>
      <c r="J789" s="721"/>
      <c r="K789" s="699"/>
      <c r="L789" s="699"/>
      <c r="M789" s="699"/>
      <c r="N789" s="699"/>
      <c r="O789" s="308"/>
    </row>
    <row r="790" spans="1:16">
      <c r="C790" s="740" t="s">
        <v>16</v>
      </c>
      <c r="D790" s="727"/>
      <c r="E790" s="727"/>
      <c r="F790" s="727"/>
      <c r="G790" s="721"/>
      <c r="H790" s="721"/>
      <c r="I790" s="795"/>
      <c r="J790" s="795"/>
      <c r="K790" s="795"/>
      <c r="L790" s="795"/>
      <c r="M790" s="795"/>
      <c r="N790" s="795"/>
      <c r="O790" s="308"/>
    </row>
    <row r="791" spans="1:16">
      <c r="C791" s="726" t="s">
        <v>273</v>
      </c>
      <c r="D791" s="727"/>
      <c r="E791" s="727"/>
      <c r="F791" s="727"/>
      <c r="G791" s="721"/>
      <c r="H791" s="721"/>
      <c r="I791" s="795"/>
      <c r="J791" s="795"/>
      <c r="K791" s="795"/>
      <c r="L791" s="795"/>
      <c r="M791" s="795"/>
      <c r="N791" s="795"/>
      <c r="O791" s="308"/>
    </row>
    <row r="792" spans="1:16">
      <c r="C792" s="726" t="s">
        <v>94</v>
      </c>
      <c r="D792" s="727"/>
      <c r="E792" s="727"/>
      <c r="F792" s="727"/>
      <c r="G792" s="721"/>
      <c r="H792" s="721"/>
      <c r="I792" s="795"/>
      <c r="J792" s="795"/>
      <c r="K792" s="795"/>
      <c r="L792" s="795"/>
      <c r="M792" s="795"/>
      <c r="N792" s="795"/>
      <c r="O792" s="308"/>
    </row>
    <row r="793" spans="1:16">
      <c r="C793" s="726"/>
      <c r="D793" s="727"/>
      <c r="E793" s="727"/>
      <c r="F793" s="727"/>
      <c r="G793" s="721"/>
      <c r="H793" s="721"/>
      <c r="I793" s="795"/>
      <c r="J793" s="795"/>
      <c r="K793" s="795"/>
      <c r="L793" s="795"/>
      <c r="M793" s="795"/>
      <c r="N793" s="795"/>
      <c r="O793" s="308"/>
    </row>
    <row r="794" spans="1:16">
      <c r="C794" s="1552" t="s">
        <v>8</v>
      </c>
      <c r="D794" s="1552"/>
      <c r="E794" s="1552"/>
      <c r="F794" s="1552"/>
      <c r="G794" s="1552"/>
      <c r="H794" s="1552"/>
      <c r="I794" s="1552"/>
      <c r="J794" s="1552"/>
      <c r="K794" s="1552"/>
      <c r="L794" s="1552"/>
      <c r="M794" s="1552"/>
      <c r="N794" s="1552"/>
      <c r="O794" s="1552"/>
    </row>
    <row r="795" spans="1:16">
      <c r="C795" s="1552"/>
      <c r="D795" s="1552"/>
      <c r="E795" s="1552"/>
      <c r="F795" s="1552"/>
      <c r="G795" s="1552"/>
      <c r="H795" s="1552"/>
      <c r="I795" s="1552"/>
      <c r="J795" s="1552"/>
      <c r="K795" s="1552"/>
      <c r="L795" s="1552"/>
      <c r="M795" s="1552"/>
      <c r="N795" s="1552"/>
      <c r="O795" s="1552"/>
    </row>
    <row r="796" spans="1:16" ht="20.25">
      <c r="A796" s="728" t="str">
        <f>""&amp;A720&amp;" Worksheet J -  ATRR PROJECTED Calculation for PJM Projects Charged to Benefiting Zones"</f>
        <v xml:space="preserve"> Worksheet J -  ATRR PROJECTED Calculation for PJM Projects Charged to Benefiting Zones</v>
      </c>
      <c r="B796" s="341"/>
      <c r="C796" s="716"/>
      <c r="D796" s="529"/>
      <c r="E796" s="308"/>
      <c r="F796" s="698"/>
      <c r="G796" s="308"/>
      <c r="H796" s="699"/>
      <c r="K796" s="555"/>
      <c r="L796" s="555"/>
      <c r="M796" s="555"/>
      <c r="N796" s="644" t="str">
        <f>"Page "&amp;SUM(P$8:P796)&amp;" of "</f>
        <v xml:space="preserve">Page 10 of </v>
      </c>
      <c r="O796" s="645">
        <f>COUNT(P$8:P$56656)</f>
        <v>11</v>
      </c>
      <c r="P796" s="172">
        <v>1</v>
      </c>
    </row>
    <row r="797" spans="1:16" ht="20.25">
      <c r="A797" s="728"/>
      <c r="B797" s="341"/>
      <c r="C797" s="716"/>
      <c r="D797" s="529"/>
      <c r="E797" s="308"/>
      <c r="F797" s="698"/>
      <c r="G797" s="308"/>
      <c r="H797" s="699"/>
      <c r="K797" s="555"/>
      <c r="L797" s="555"/>
      <c r="M797" s="555"/>
      <c r="N797" s="644"/>
      <c r="O797" s="645"/>
    </row>
    <row r="798" spans="1:16" ht="18">
      <c r="B798" s="648" t="s">
        <v>474</v>
      </c>
      <c r="C798" s="730" t="s">
        <v>95</v>
      </c>
      <c r="D798" s="529"/>
      <c r="E798" s="308"/>
      <c r="F798" s="308"/>
      <c r="G798" s="308"/>
      <c r="H798" s="699"/>
      <c r="I798" s="699"/>
      <c r="J798" s="721"/>
      <c r="K798" s="699"/>
      <c r="L798" s="699"/>
      <c r="M798" s="699"/>
      <c r="N798" s="699"/>
      <c r="O798" s="308"/>
    </row>
    <row r="799" spans="1:16" ht="18.75">
      <c r="B799" s="648"/>
      <c r="C799" s="647"/>
      <c r="D799" s="529"/>
      <c r="E799" s="308"/>
      <c r="F799" s="308"/>
      <c r="G799" s="308"/>
      <c r="H799" s="699"/>
      <c r="I799" s="699"/>
      <c r="J799" s="721"/>
      <c r="K799" s="699"/>
      <c r="L799" s="699"/>
      <c r="M799" s="699"/>
      <c r="N799" s="699"/>
      <c r="O799" s="308"/>
    </row>
    <row r="800" spans="1:16" ht="18.75">
      <c r="B800" s="648"/>
      <c r="C800" s="647" t="s">
        <v>96</v>
      </c>
      <c r="D800" s="529"/>
      <c r="E800" s="308"/>
      <c r="F800" s="308"/>
      <c r="G800" s="308"/>
      <c r="H800" s="699"/>
      <c r="I800" s="699"/>
      <c r="J800" s="721"/>
      <c r="K800" s="699"/>
      <c r="L800" s="699"/>
      <c r="M800" s="699"/>
      <c r="N800" s="699"/>
      <c r="O800" s="308"/>
    </row>
    <row r="801" spans="2:15" ht="15.75" thickBot="1">
      <c r="C801" s="239"/>
      <c r="D801" s="529"/>
      <c r="E801" s="308"/>
      <c r="F801" s="308"/>
      <c r="G801" s="308"/>
      <c r="H801" s="699"/>
      <c r="I801" s="699"/>
      <c r="J801" s="721"/>
      <c r="K801" s="699"/>
      <c r="L801" s="699"/>
      <c r="M801" s="699"/>
      <c r="N801" s="699"/>
      <c r="O801" s="308"/>
    </row>
    <row r="802" spans="2:15" ht="15.75">
      <c r="C802" s="650" t="s">
        <v>97</v>
      </c>
      <c r="D802" s="529"/>
      <c r="E802" s="308"/>
      <c r="F802" s="308"/>
      <c r="G802" s="797"/>
      <c r="H802" s="308" t="s">
        <v>76</v>
      </c>
      <c r="I802" s="308"/>
      <c r="J802" s="418"/>
      <c r="K802" s="731" t="s">
        <v>101</v>
      </c>
      <c r="L802" s="732"/>
      <c r="M802" s="733"/>
      <c r="N802" s="734">
        <f>IF(I808=0,0,VLOOKUP(I808,C815:O874,5))</f>
        <v>4093511.29780153</v>
      </c>
      <c r="O802" s="308"/>
    </row>
    <row r="803" spans="2:15" ht="15.75">
      <c r="C803" s="650"/>
      <c r="D803" s="529"/>
      <c r="E803" s="308"/>
      <c r="F803" s="308"/>
      <c r="G803" s="308"/>
      <c r="H803" s="735"/>
      <c r="I803" s="735"/>
      <c r="J803" s="736"/>
      <c r="K803" s="737" t="s">
        <v>102</v>
      </c>
      <c r="L803" s="738"/>
      <c r="M803" s="418"/>
      <c r="N803" s="739">
        <f>IF(I808=0,0,VLOOKUP(I808,C815:O874,6))</f>
        <v>4093511.29780153</v>
      </c>
      <c r="O803" s="308"/>
    </row>
    <row r="804" spans="2:15" ht="13.5" thickBot="1">
      <c r="C804" s="740" t="s">
        <v>98</v>
      </c>
      <c r="D804" s="1553" t="s">
        <v>825</v>
      </c>
      <c r="E804" s="1553"/>
      <c r="F804" s="1553"/>
      <c r="G804" s="1553"/>
      <c r="H804" s="1553"/>
      <c r="I804" s="1553"/>
      <c r="J804" s="721"/>
      <c r="K804" s="741" t="s">
        <v>240</v>
      </c>
      <c r="L804" s="742"/>
      <c r="M804" s="742"/>
      <c r="N804" s="743">
        <f>+N803-N802</f>
        <v>0</v>
      </c>
      <c r="O804" s="308"/>
    </row>
    <row r="805" spans="2:15">
      <c r="C805" s="744"/>
      <c r="D805" s="1553"/>
      <c r="E805" s="1553"/>
      <c r="F805" s="1553"/>
      <c r="G805" s="1553"/>
      <c r="H805" s="1553"/>
      <c r="I805" s="1553"/>
      <c r="J805" s="721"/>
      <c r="K805" s="699"/>
      <c r="L805" s="699"/>
      <c r="M805" s="699"/>
      <c r="N805" s="699"/>
      <c r="O805" s="308"/>
    </row>
    <row r="806" spans="2:15" ht="13.5" thickBot="1">
      <c r="C806" s="747"/>
      <c r="D806" s="748"/>
      <c r="E806" s="746"/>
      <c r="F806" s="746"/>
      <c r="G806" s="746"/>
      <c r="H806" s="746"/>
      <c r="I806" s="746"/>
      <c r="J806" s="749"/>
      <c r="K806" s="746"/>
      <c r="L806" s="746"/>
      <c r="M806" s="746"/>
      <c r="N806" s="746"/>
      <c r="O806" s="341"/>
    </row>
    <row r="807" spans="2:15" ht="13.5" thickBot="1">
      <c r="C807" s="750" t="s">
        <v>99</v>
      </c>
      <c r="D807" s="751"/>
      <c r="E807" s="751"/>
      <c r="F807" s="751"/>
      <c r="G807" s="751"/>
      <c r="H807" s="751"/>
      <c r="I807" s="752"/>
      <c r="J807" s="753"/>
      <c r="K807" s="308"/>
      <c r="L807" s="308"/>
      <c r="M807" s="308"/>
      <c r="N807" s="308"/>
      <c r="O807" s="754"/>
    </row>
    <row r="808" spans="2:15" ht="15">
      <c r="C808" s="755" t="s">
        <v>77</v>
      </c>
      <c r="D808" s="1300">
        <v>32177046</v>
      </c>
      <c r="E808" s="716" t="s">
        <v>78</v>
      </c>
      <c r="G808" s="756"/>
      <c r="H808" s="756"/>
      <c r="I808" s="757">
        <f>$L$26</f>
        <v>2022</v>
      </c>
      <c r="J808" s="545"/>
      <c r="K808" s="1554" t="s">
        <v>249</v>
      </c>
      <c r="L808" s="1554"/>
      <c r="M808" s="1554"/>
      <c r="N808" s="1554"/>
      <c r="O808" s="1554"/>
    </row>
    <row r="809" spans="2:15">
      <c r="C809" s="755" t="s">
        <v>80</v>
      </c>
      <c r="D809" s="1301">
        <v>2017</v>
      </c>
      <c r="E809" s="755" t="s">
        <v>81</v>
      </c>
      <c r="F809" s="756"/>
      <c r="H809" s="172"/>
      <c r="I809" s="801">
        <f>IF(G802="",0,$F$17)</f>
        <v>0</v>
      </c>
      <c r="J809" s="758"/>
      <c r="K809" s="721" t="s">
        <v>249</v>
      </c>
    </row>
    <row r="810" spans="2:15">
      <c r="C810" s="755" t="s">
        <v>82</v>
      </c>
      <c r="D810" s="1302">
        <v>8</v>
      </c>
      <c r="E810" s="755" t="s">
        <v>83</v>
      </c>
      <c r="F810" s="756"/>
      <c r="H810" s="172"/>
      <c r="I810" s="759">
        <f>$G$70</f>
        <v>0.11486185889303469</v>
      </c>
      <c r="J810" s="760"/>
      <c r="K810" s="172" t="str">
        <f>"          INPUT PROJECTED ARR (WITH &amp; WITHOUT INCENTIVES) FROM EACH PRIOR YEAR"</f>
        <v xml:space="preserve">          INPUT PROJECTED ARR (WITH &amp; WITHOUT INCENTIVES) FROM EACH PRIOR YEAR</v>
      </c>
    </row>
    <row r="811" spans="2:15">
      <c r="C811" s="755" t="s">
        <v>84</v>
      </c>
      <c r="D811" s="761">
        <f>$G$79</f>
        <v>36</v>
      </c>
      <c r="E811" s="755" t="s">
        <v>85</v>
      </c>
      <c r="F811" s="756"/>
      <c r="H811" s="172"/>
      <c r="I811" s="759">
        <f>IF(G802="",I810,$G$69)</f>
        <v>0.11486185889303469</v>
      </c>
      <c r="J811" s="762"/>
      <c r="K811" s="172" t="s">
        <v>162</v>
      </c>
    </row>
    <row r="812" spans="2:15" ht="13.5" thickBot="1">
      <c r="C812" s="755" t="s">
        <v>86</v>
      </c>
      <c r="D812" s="798" t="s">
        <v>814</v>
      </c>
      <c r="E812" s="763" t="s">
        <v>87</v>
      </c>
      <c r="F812" s="764"/>
      <c r="G812" s="765"/>
      <c r="H812" s="765"/>
      <c r="I812" s="743">
        <f>IF(D808=0,0,D808/D811)</f>
        <v>893806.83333333337</v>
      </c>
      <c r="J812" s="721"/>
      <c r="K812" s="721" t="s">
        <v>168</v>
      </c>
      <c r="L812" s="721"/>
      <c r="M812" s="721"/>
      <c r="N812" s="721"/>
      <c r="O812" s="418"/>
    </row>
    <row r="813" spans="2:15" ht="51">
      <c r="B813" s="836"/>
      <c r="C813" s="766" t="s">
        <v>77</v>
      </c>
      <c r="D813" s="767" t="s">
        <v>88</v>
      </c>
      <c r="E813" s="768" t="s">
        <v>89</v>
      </c>
      <c r="F813" s="767" t="s">
        <v>90</v>
      </c>
      <c r="G813" s="768" t="s">
        <v>161</v>
      </c>
      <c r="H813" s="769" t="s">
        <v>161</v>
      </c>
      <c r="I813" s="766" t="s">
        <v>100</v>
      </c>
      <c r="J813" s="770"/>
      <c r="K813" s="768" t="s">
        <v>170</v>
      </c>
      <c r="L813" s="771"/>
      <c r="M813" s="768" t="s">
        <v>170</v>
      </c>
      <c r="N813" s="771"/>
      <c r="O813" s="771"/>
    </row>
    <row r="814" spans="2:15" ht="13.5" thickBot="1">
      <c r="C814" s="772" t="s">
        <v>477</v>
      </c>
      <c r="D814" s="773" t="s">
        <v>478</v>
      </c>
      <c r="E814" s="772" t="s">
        <v>371</v>
      </c>
      <c r="F814" s="773" t="s">
        <v>478</v>
      </c>
      <c r="G814" s="774" t="s">
        <v>103</v>
      </c>
      <c r="H814" s="775" t="s">
        <v>105</v>
      </c>
      <c r="I814" s="776" t="s">
        <v>17</v>
      </c>
      <c r="J814" s="777"/>
      <c r="K814" s="774" t="s">
        <v>92</v>
      </c>
      <c r="L814" s="778"/>
      <c r="M814" s="774" t="s">
        <v>105</v>
      </c>
      <c r="N814" s="778"/>
      <c r="O814" s="778"/>
    </row>
    <row r="815" spans="2:15">
      <c r="C815" s="779">
        <f>IF(D809= "","-",D809)</f>
        <v>2017</v>
      </c>
      <c r="D815" s="727">
        <f>+D808</f>
        <v>32177046</v>
      </c>
      <c r="E815" s="780">
        <f>+I812/12*(12-D810)</f>
        <v>297935.61111111112</v>
      </c>
      <c r="F815" s="727">
        <f>+D815-E815</f>
        <v>31879110.388888888</v>
      </c>
      <c r="G815" s="988">
        <f>+$I$96*((D815+F815)/2)+E815</f>
        <v>3976740.20929647</v>
      </c>
      <c r="H815" s="989">
        <f>$I$97*((D815+F815)/2)+E815</f>
        <v>3976740.20929647</v>
      </c>
      <c r="I815" s="783">
        <f>+H815-G815</f>
        <v>0</v>
      </c>
      <c r="J815" s="783"/>
      <c r="K815" s="1303">
        <v>3283917</v>
      </c>
      <c r="L815" s="784"/>
      <c r="M815" s="1303">
        <v>3283917</v>
      </c>
      <c r="N815" s="784"/>
      <c r="O815" s="784"/>
    </row>
    <row r="816" spans="2:15">
      <c r="C816" s="1318">
        <f>IF(D809="","-",+C815+1)</f>
        <v>2018</v>
      </c>
      <c r="D816" s="727">
        <f t="shared" ref="D816:D874" si="48">F815</f>
        <v>31879110.388888888</v>
      </c>
      <c r="E816" s="780">
        <f>IF(D816&gt;$I$812,$I$812,D816)</f>
        <v>893806.83333333337</v>
      </c>
      <c r="F816" s="727">
        <f t="shared" ref="F816:F874" si="49">+D816-E816</f>
        <v>30985303.555555556</v>
      </c>
      <c r="G816" s="785">
        <f t="shared" ref="G816:G874" si="50">+$I$96*((D816+F816)/2)+E816</f>
        <v>4504168.5552733829</v>
      </c>
      <c r="H816" s="786">
        <f t="shared" ref="H816:H874" si="51">$I$97*((D816+F816)/2)+E816</f>
        <v>4504168.5552733829</v>
      </c>
      <c r="I816" s="783">
        <f t="shared" ref="I816:I874" si="52">+H816-G816</f>
        <v>0</v>
      </c>
      <c r="J816" s="783"/>
      <c r="K816" s="1304">
        <v>3670194</v>
      </c>
      <c r="L816" s="787"/>
      <c r="M816" s="1304">
        <v>3670194</v>
      </c>
      <c r="N816" s="787"/>
      <c r="O816" s="787"/>
    </row>
    <row r="817" spans="3:15">
      <c r="C817" s="1298">
        <f>IF(D809="","-",+C816+1)</f>
        <v>2019</v>
      </c>
      <c r="D817" s="727">
        <f t="shared" si="48"/>
        <v>30985303.555555556</v>
      </c>
      <c r="E817" s="780">
        <f t="shared" ref="E817:E874" si="53">IF(D817&gt;$I$812,$I$812,D817)</f>
        <v>893806.83333333337</v>
      </c>
      <c r="F817" s="727">
        <f t="shared" si="49"/>
        <v>30091496.722222224</v>
      </c>
      <c r="G817" s="785">
        <f t="shared" si="50"/>
        <v>4401504.2409054199</v>
      </c>
      <c r="H817" s="786">
        <f t="shared" si="51"/>
        <v>4401504.2409054199</v>
      </c>
      <c r="I817" s="783">
        <f t="shared" si="52"/>
        <v>0</v>
      </c>
      <c r="J817" s="783"/>
      <c r="K817" s="1304"/>
      <c r="L817" s="787"/>
      <c r="M817" s="1304"/>
      <c r="N817" s="787"/>
      <c r="O817" s="787"/>
    </row>
    <row r="818" spans="3:15">
      <c r="C818" s="779">
        <f>IF(D809="","-",+C817+1)</f>
        <v>2020</v>
      </c>
      <c r="D818" s="727">
        <f t="shared" si="48"/>
        <v>30091496.722222224</v>
      </c>
      <c r="E818" s="780">
        <f t="shared" si="53"/>
        <v>893806.83333333337</v>
      </c>
      <c r="F818" s="727">
        <f t="shared" si="49"/>
        <v>29197689.888888892</v>
      </c>
      <c r="G818" s="785">
        <f t="shared" si="50"/>
        <v>4298839.9265374569</v>
      </c>
      <c r="H818" s="786">
        <f t="shared" si="51"/>
        <v>4298839.9265374569</v>
      </c>
      <c r="I818" s="783">
        <f t="shared" si="52"/>
        <v>0</v>
      </c>
      <c r="J818" s="783"/>
      <c r="K818" s="1304"/>
      <c r="L818" s="787"/>
      <c r="M818" s="1304"/>
      <c r="N818" s="787"/>
      <c r="O818" s="787"/>
    </row>
    <row r="819" spans="3:15">
      <c r="C819" s="1299">
        <f>IF(D809="","-",+C818+1)</f>
        <v>2021</v>
      </c>
      <c r="D819" s="727">
        <f t="shared" si="48"/>
        <v>29197689.888888892</v>
      </c>
      <c r="E819" s="780">
        <f t="shared" si="53"/>
        <v>893806.83333333337</v>
      </c>
      <c r="F819" s="727">
        <f t="shared" si="49"/>
        <v>28303883.05555556</v>
      </c>
      <c r="G819" s="785">
        <f t="shared" si="50"/>
        <v>4196175.612169493</v>
      </c>
      <c r="H819" s="786">
        <f t="shared" si="51"/>
        <v>4196175.612169493</v>
      </c>
      <c r="I819" s="783">
        <f t="shared" si="52"/>
        <v>0</v>
      </c>
      <c r="J819" s="783"/>
      <c r="K819" s="1304"/>
      <c r="L819" s="787"/>
      <c r="M819" s="1304"/>
      <c r="N819" s="787"/>
      <c r="O819" s="787"/>
    </row>
    <row r="820" spans="3:15">
      <c r="C820" s="1299">
        <f>IF(D809="","-",+C819+1)</f>
        <v>2022</v>
      </c>
      <c r="D820" s="727">
        <f t="shared" si="48"/>
        <v>28303883.05555556</v>
      </c>
      <c r="E820" s="780">
        <f t="shared" si="53"/>
        <v>893806.83333333337</v>
      </c>
      <c r="F820" s="727">
        <f t="shared" si="49"/>
        <v>27410076.222222228</v>
      </c>
      <c r="G820" s="785">
        <f t="shared" si="50"/>
        <v>4093511.29780153</v>
      </c>
      <c r="H820" s="786">
        <f t="shared" si="51"/>
        <v>4093511.29780153</v>
      </c>
      <c r="I820" s="783">
        <f t="shared" si="52"/>
        <v>0</v>
      </c>
      <c r="J820" s="783"/>
      <c r="K820" s="1304"/>
      <c r="L820" s="787"/>
      <c r="M820" s="1304"/>
      <c r="N820" s="787"/>
      <c r="O820" s="787"/>
    </row>
    <row r="821" spans="3:15">
      <c r="C821" s="779">
        <f>IF(D809="","-",+C820+1)</f>
        <v>2023</v>
      </c>
      <c r="D821" s="727">
        <f t="shared" si="48"/>
        <v>27410076.222222228</v>
      </c>
      <c r="E821" s="780">
        <f t="shared" si="53"/>
        <v>893806.83333333337</v>
      </c>
      <c r="F821" s="727">
        <f t="shared" si="49"/>
        <v>26516269.388888896</v>
      </c>
      <c r="G821" s="785">
        <f t="shared" si="50"/>
        <v>3990846.9834335665</v>
      </c>
      <c r="H821" s="786">
        <f t="shared" si="51"/>
        <v>3990846.9834335665</v>
      </c>
      <c r="I821" s="783">
        <f t="shared" si="52"/>
        <v>0</v>
      </c>
      <c r="J821" s="783"/>
      <c r="K821" s="1304"/>
      <c r="L821" s="787"/>
      <c r="M821" s="1304"/>
      <c r="N821" s="787"/>
      <c r="O821" s="787"/>
    </row>
    <row r="822" spans="3:15">
      <c r="C822" s="779">
        <f>IF(D809="","-",+C821+1)</f>
        <v>2024</v>
      </c>
      <c r="D822" s="727">
        <f t="shared" si="48"/>
        <v>26516269.388888896</v>
      </c>
      <c r="E822" s="780">
        <f t="shared" si="53"/>
        <v>893806.83333333337</v>
      </c>
      <c r="F822" s="727">
        <f t="shared" si="49"/>
        <v>25622462.555555563</v>
      </c>
      <c r="G822" s="785">
        <f t="shared" si="50"/>
        <v>3888182.6690656035</v>
      </c>
      <c r="H822" s="786">
        <f t="shared" si="51"/>
        <v>3888182.6690656035</v>
      </c>
      <c r="I822" s="783">
        <f t="shared" si="52"/>
        <v>0</v>
      </c>
      <c r="J822" s="783"/>
      <c r="K822" s="1304"/>
      <c r="L822" s="787"/>
      <c r="M822" s="1304"/>
      <c r="N822" s="787"/>
      <c r="O822" s="787"/>
    </row>
    <row r="823" spans="3:15">
      <c r="C823" s="779">
        <f>IF(D809="","-",+C822+1)</f>
        <v>2025</v>
      </c>
      <c r="D823" s="727">
        <f t="shared" si="48"/>
        <v>25622462.555555563</v>
      </c>
      <c r="E823" s="780">
        <f t="shared" si="53"/>
        <v>893806.83333333337</v>
      </c>
      <c r="F823" s="727">
        <f t="shared" si="49"/>
        <v>24728655.722222231</v>
      </c>
      <c r="G823" s="785">
        <f t="shared" si="50"/>
        <v>3785518.3546976396</v>
      </c>
      <c r="H823" s="786">
        <f t="shared" si="51"/>
        <v>3785518.3546976396</v>
      </c>
      <c r="I823" s="783">
        <f t="shared" si="52"/>
        <v>0</v>
      </c>
      <c r="J823" s="783"/>
      <c r="K823" s="1304"/>
      <c r="L823" s="787"/>
      <c r="M823" s="1304"/>
      <c r="N823" s="787"/>
      <c r="O823" s="787"/>
    </row>
    <row r="824" spans="3:15">
      <c r="C824" s="779">
        <f>IF(D809="","-",+C823+1)</f>
        <v>2026</v>
      </c>
      <c r="D824" s="727">
        <f t="shared" si="48"/>
        <v>24728655.722222231</v>
      </c>
      <c r="E824" s="780">
        <f t="shared" si="53"/>
        <v>893806.83333333337</v>
      </c>
      <c r="F824" s="727">
        <f t="shared" si="49"/>
        <v>23834848.888888899</v>
      </c>
      <c r="G824" s="785">
        <f t="shared" si="50"/>
        <v>3682854.0403296766</v>
      </c>
      <c r="H824" s="786">
        <f t="shared" si="51"/>
        <v>3682854.0403296766</v>
      </c>
      <c r="I824" s="783">
        <f t="shared" si="52"/>
        <v>0</v>
      </c>
      <c r="J824" s="783"/>
      <c r="K824" s="1304"/>
      <c r="L824" s="787"/>
      <c r="M824" s="1304"/>
      <c r="N824" s="787"/>
      <c r="O824" s="787"/>
    </row>
    <row r="825" spans="3:15">
      <c r="C825" s="779">
        <f>IF(D809="","-",+C824+1)</f>
        <v>2027</v>
      </c>
      <c r="D825" s="727">
        <f t="shared" si="48"/>
        <v>23834848.888888899</v>
      </c>
      <c r="E825" s="780">
        <f t="shared" si="53"/>
        <v>893806.83333333337</v>
      </c>
      <c r="F825" s="727">
        <f t="shared" si="49"/>
        <v>22941042.055555567</v>
      </c>
      <c r="G825" s="785">
        <f t="shared" si="50"/>
        <v>3580189.7259617131</v>
      </c>
      <c r="H825" s="786">
        <f t="shared" si="51"/>
        <v>3580189.7259617131</v>
      </c>
      <c r="I825" s="783">
        <f t="shared" si="52"/>
        <v>0</v>
      </c>
      <c r="J825" s="783"/>
      <c r="K825" s="1304"/>
      <c r="L825" s="787"/>
      <c r="M825" s="1304"/>
      <c r="N825" s="787"/>
      <c r="O825" s="787"/>
    </row>
    <row r="826" spans="3:15">
      <c r="C826" s="779">
        <f>IF(D809="","-",+C825+1)</f>
        <v>2028</v>
      </c>
      <c r="D826" s="727">
        <f t="shared" si="48"/>
        <v>22941042.055555567</v>
      </c>
      <c r="E826" s="780">
        <f t="shared" si="53"/>
        <v>893806.83333333337</v>
      </c>
      <c r="F826" s="727">
        <f t="shared" si="49"/>
        <v>22047235.222222235</v>
      </c>
      <c r="G826" s="785">
        <f t="shared" si="50"/>
        <v>3477525.4115937501</v>
      </c>
      <c r="H826" s="786">
        <f t="shared" si="51"/>
        <v>3477525.4115937501</v>
      </c>
      <c r="I826" s="783">
        <f t="shared" si="52"/>
        <v>0</v>
      </c>
      <c r="J826" s="783"/>
      <c r="K826" s="1304"/>
      <c r="L826" s="787"/>
      <c r="M826" s="1304"/>
      <c r="N826" s="787"/>
      <c r="O826" s="787"/>
    </row>
    <row r="827" spans="3:15">
      <c r="C827" s="779">
        <f>IF(D809="","-",+C826+1)</f>
        <v>2029</v>
      </c>
      <c r="D827" s="727">
        <f t="shared" si="48"/>
        <v>22047235.222222235</v>
      </c>
      <c r="E827" s="780">
        <f t="shared" si="53"/>
        <v>893806.83333333337</v>
      </c>
      <c r="F827" s="727">
        <f t="shared" si="49"/>
        <v>21153428.388888903</v>
      </c>
      <c r="G827" s="785">
        <f t="shared" si="50"/>
        <v>3374861.0972257862</v>
      </c>
      <c r="H827" s="786">
        <f t="shared" si="51"/>
        <v>3374861.0972257862</v>
      </c>
      <c r="I827" s="783">
        <f t="shared" si="52"/>
        <v>0</v>
      </c>
      <c r="J827" s="783"/>
      <c r="K827" s="1304"/>
      <c r="L827" s="787"/>
      <c r="M827" s="1304"/>
      <c r="N827" s="788"/>
      <c r="O827" s="787"/>
    </row>
    <row r="828" spans="3:15">
      <c r="C828" s="779">
        <f>IF(D809="","-",+C827+1)</f>
        <v>2030</v>
      </c>
      <c r="D828" s="727">
        <f t="shared" si="48"/>
        <v>21153428.388888903</v>
      </c>
      <c r="E828" s="780">
        <f t="shared" si="53"/>
        <v>893806.83333333337</v>
      </c>
      <c r="F828" s="727">
        <f t="shared" si="49"/>
        <v>20259621.555555571</v>
      </c>
      <c r="G828" s="785">
        <f t="shared" si="50"/>
        <v>3272196.7828578232</v>
      </c>
      <c r="H828" s="786">
        <f t="shared" si="51"/>
        <v>3272196.7828578232</v>
      </c>
      <c r="I828" s="783">
        <f t="shared" si="52"/>
        <v>0</v>
      </c>
      <c r="J828" s="783"/>
      <c r="K828" s="1304"/>
      <c r="L828" s="787"/>
      <c r="M828" s="1304"/>
      <c r="N828" s="787"/>
      <c r="O828" s="787"/>
    </row>
    <row r="829" spans="3:15">
      <c r="C829" s="779">
        <f>IF(D809="","-",+C828+1)</f>
        <v>2031</v>
      </c>
      <c r="D829" s="727">
        <f t="shared" si="48"/>
        <v>20259621.555555571</v>
      </c>
      <c r="E829" s="780">
        <f t="shared" si="53"/>
        <v>893806.83333333337</v>
      </c>
      <c r="F829" s="727">
        <f t="shared" si="49"/>
        <v>19365814.722222239</v>
      </c>
      <c r="G829" s="785">
        <f t="shared" si="50"/>
        <v>3169532.4684898593</v>
      </c>
      <c r="H829" s="786">
        <f t="shared" si="51"/>
        <v>3169532.4684898593</v>
      </c>
      <c r="I829" s="783">
        <f t="shared" si="52"/>
        <v>0</v>
      </c>
      <c r="J829" s="783"/>
      <c r="K829" s="1304"/>
      <c r="L829" s="787"/>
      <c r="M829" s="1304"/>
      <c r="N829" s="787"/>
      <c r="O829" s="787"/>
    </row>
    <row r="830" spans="3:15">
      <c r="C830" s="779">
        <f>IF(D809="","-",+C829+1)</f>
        <v>2032</v>
      </c>
      <c r="D830" s="727">
        <f t="shared" si="48"/>
        <v>19365814.722222239</v>
      </c>
      <c r="E830" s="780">
        <f t="shared" si="53"/>
        <v>893806.83333333337</v>
      </c>
      <c r="F830" s="727">
        <f t="shared" si="49"/>
        <v>18472007.888888907</v>
      </c>
      <c r="G830" s="785">
        <f t="shared" si="50"/>
        <v>3066868.1541218967</v>
      </c>
      <c r="H830" s="786">
        <f t="shared" si="51"/>
        <v>3066868.1541218967</v>
      </c>
      <c r="I830" s="783">
        <f t="shared" si="52"/>
        <v>0</v>
      </c>
      <c r="J830" s="783"/>
      <c r="K830" s="1304"/>
      <c r="L830" s="787"/>
      <c r="M830" s="1304"/>
      <c r="N830" s="787"/>
      <c r="O830" s="787"/>
    </row>
    <row r="831" spans="3:15">
      <c r="C831" s="779">
        <f>IF(D809="","-",+C830+1)</f>
        <v>2033</v>
      </c>
      <c r="D831" s="727">
        <f t="shared" si="48"/>
        <v>18472007.888888907</v>
      </c>
      <c r="E831" s="780">
        <f t="shared" si="53"/>
        <v>893806.83333333337</v>
      </c>
      <c r="F831" s="727">
        <f t="shared" si="49"/>
        <v>17578201.055555575</v>
      </c>
      <c r="G831" s="785">
        <f t="shared" si="50"/>
        <v>2964203.8397539328</v>
      </c>
      <c r="H831" s="786">
        <f t="shared" si="51"/>
        <v>2964203.8397539328</v>
      </c>
      <c r="I831" s="783">
        <f t="shared" si="52"/>
        <v>0</v>
      </c>
      <c r="J831" s="783"/>
      <c r="K831" s="1304"/>
      <c r="L831" s="787"/>
      <c r="M831" s="1304"/>
      <c r="N831" s="787"/>
      <c r="O831" s="787"/>
    </row>
    <row r="832" spans="3:15">
      <c r="C832" s="779">
        <f>IF(D809="","-",+C831+1)</f>
        <v>2034</v>
      </c>
      <c r="D832" s="727">
        <f t="shared" si="48"/>
        <v>17578201.055555575</v>
      </c>
      <c r="E832" s="780">
        <f t="shared" si="53"/>
        <v>893806.83333333337</v>
      </c>
      <c r="F832" s="727">
        <f t="shared" si="49"/>
        <v>16684394.222222241</v>
      </c>
      <c r="G832" s="785">
        <f t="shared" si="50"/>
        <v>2861539.5253859693</v>
      </c>
      <c r="H832" s="786">
        <f t="shared" si="51"/>
        <v>2861539.5253859693</v>
      </c>
      <c r="I832" s="783">
        <f t="shared" si="52"/>
        <v>0</v>
      </c>
      <c r="J832" s="783"/>
      <c r="K832" s="1304"/>
      <c r="L832" s="787"/>
      <c r="M832" s="1304"/>
      <c r="N832" s="787"/>
      <c r="O832" s="787"/>
    </row>
    <row r="833" spans="3:15">
      <c r="C833" s="779">
        <f>IF(D809="","-",+C832+1)</f>
        <v>2035</v>
      </c>
      <c r="D833" s="727">
        <f t="shared" si="48"/>
        <v>16684394.222222241</v>
      </c>
      <c r="E833" s="780">
        <f t="shared" si="53"/>
        <v>893806.83333333337</v>
      </c>
      <c r="F833" s="727">
        <f t="shared" si="49"/>
        <v>15790587.388888907</v>
      </c>
      <c r="G833" s="785">
        <f t="shared" si="50"/>
        <v>2758875.2110180059</v>
      </c>
      <c r="H833" s="786">
        <f t="shared" si="51"/>
        <v>2758875.2110180059</v>
      </c>
      <c r="I833" s="783">
        <f t="shared" si="52"/>
        <v>0</v>
      </c>
      <c r="J833" s="783"/>
      <c r="K833" s="1304"/>
      <c r="L833" s="787"/>
      <c r="M833" s="1304"/>
      <c r="N833" s="787"/>
      <c r="O833" s="787"/>
    </row>
    <row r="834" spans="3:15">
      <c r="C834" s="779">
        <f>IF(D809="","-",+C833+1)</f>
        <v>2036</v>
      </c>
      <c r="D834" s="727">
        <f t="shared" si="48"/>
        <v>15790587.388888907</v>
      </c>
      <c r="E834" s="780">
        <f t="shared" si="53"/>
        <v>893806.83333333337</v>
      </c>
      <c r="F834" s="727">
        <f t="shared" si="49"/>
        <v>14896780.555555573</v>
      </c>
      <c r="G834" s="785">
        <f t="shared" si="50"/>
        <v>2656210.8966500419</v>
      </c>
      <c r="H834" s="786">
        <f t="shared" si="51"/>
        <v>2656210.8966500419</v>
      </c>
      <c r="I834" s="783">
        <f t="shared" si="52"/>
        <v>0</v>
      </c>
      <c r="J834" s="783"/>
      <c r="K834" s="1304"/>
      <c r="L834" s="787"/>
      <c r="M834" s="1304"/>
      <c r="N834" s="787"/>
      <c r="O834" s="787"/>
    </row>
    <row r="835" spans="3:15">
      <c r="C835" s="779">
        <f>IF(D809="","-",+C834+1)</f>
        <v>2037</v>
      </c>
      <c r="D835" s="727">
        <f t="shared" si="48"/>
        <v>14896780.555555573</v>
      </c>
      <c r="E835" s="780">
        <f t="shared" si="53"/>
        <v>893806.83333333337</v>
      </c>
      <c r="F835" s="727">
        <f t="shared" si="49"/>
        <v>14002973.722222239</v>
      </c>
      <c r="G835" s="785">
        <f t="shared" si="50"/>
        <v>2553546.5822820789</v>
      </c>
      <c r="H835" s="786">
        <f t="shared" si="51"/>
        <v>2553546.5822820789</v>
      </c>
      <c r="I835" s="783">
        <f t="shared" si="52"/>
        <v>0</v>
      </c>
      <c r="J835" s="783"/>
      <c r="K835" s="1304"/>
      <c r="L835" s="787"/>
      <c r="M835" s="1304"/>
      <c r="N835" s="787"/>
      <c r="O835" s="787"/>
    </row>
    <row r="836" spans="3:15">
      <c r="C836" s="779">
        <f>IF(D809="","-",+C835+1)</f>
        <v>2038</v>
      </c>
      <c r="D836" s="727">
        <f t="shared" si="48"/>
        <v>14002973.722222239</v>
      </c>
      <c r="E836" s="780">
        <f t="shared" si="53"/>
        <v>893806.83333333337</v>
      </c>
      <c r="F836" s="727">
        <f t="shared" si="49"/>
        <v>13109166.888888905</v>
      </c>
      <c r="G836" s="785">
        <f t="shared" si="50"/>
        <v>2450882.267914115</v>
      </c>
      <c r="H836" s="786">
        <f t="shared" si="51"/>
        <v>2450882.267914115</v>
      </c>
      <c r="I836" s="783">
        <f t="shared" si="52"/>
        <v>0</v>
      </c>
      <c r="J836" s="783"/>
      <c r="K836" s="1304"/>
      <c r="L836" s="787"/>
      <c r="M836" s="1304"/>
      <c r="N836" s="787"/>
      <c r="O836" s="787"/>
    </row>
    <row r="837" spans="3:15">
      <c r="C837" s="779">
        <f>IF(D809="","-",+C836+1)</f>
        <v>2039</v>
      </c>
      <c r="D837" s="727">
        <f t="shared" si="48"/>
        <v>13109166.888888905</v>
      </c>
      <c r="E837" s="780">
        <f t="shared" si="53"/>
        <v>893806.83333333337</v>
      </c>
      <c r="F837" s="727">
        <f t="shared" si="49"/>
        <v>12215360.055555571</v>
      </c>
      <c r="G837" s="785">
        <f t="shared" si="50"/>
        <v>2348217.9535461515</v>
      </c>
      <c r="H837" s="786">
        <f t="shared" si="51"/>
        <v>2348217.9535461515</v>
      </c>
      <c r="I837" s="783">
        <f t="shared" si="52"/>
        <v>0</v>
      </c>
      <c r="J837" s="783"/>
      <c r="K837" s="1304"/>
      <c r="L837" s="787"/>
      <c r="M837" s="1304"/>
      <c r="N837" s="787"/>
      <c r="O837" s="787"/>
    </row>
    <row r="838" spans="3:15">
      <c r="C838" s="779">
        <f>IF(D809="","-",+C837+1)</f>
        <v>2040</v>
      </c>
      <c r="D838" s="727">
        <f t="shared" si="48"/>
        <v>12215360.055555571</v>
      </c>
      <c r="E838" s="780">
        <f t="shared" si="53"/>
        <v>893806.83333333337</v>
      </c>
      <c r="F838" s="727">
        <f t="shared" si="49"/>
        <v>11321553.222222237</v>
      </c>
      <c r="G838" s="785">
        <f t="shared" si="50"/>
        <v>2245553.6391781876</v>
      </c>
      <c r="H838" s="786">
        <f t="shared" si="51"/>
        <v>2245553.6391781876</v>
      </c>
      <c r="I838" s="783">
        <f t="shared" si="52"/>
        <v>0</v>
      </c>
      <c r="J838" s="783"/>
      <c r="K838" s="1304"/>
      <c r="L838" s="787"/>
      <c r="M838" s="1304"/>
      <c r="N838" s="787"/>
      <c r="O838" s="787"/>
    </row>
    <row r="839" spans="3:15">
      <c r="C839" s="779">
        <f>IF(D809="","-",+C838+1)</f>
        <v>2041</v>
      </c>
      <c r="D839" s="727">
        <f t="shared" si="48"/>
        <v>11321553.222222237</v>
      </c>
      <c r="E839" s="780">
        <f t="shared" si="53"/>
        <v>893806.83333333337</v>
      </c>
      <c r="F839" s="727">
        <f t="shared" si="49"/>
        <v>10427746.388888903</v>
      </c>
      <c r="G839" s="785">
        <f t="shared" si="50"/>
        <v>2142889.3248102246</v>
      </c>
      <c r="H839" s="786">
        <f t="shared" si="51"/>
        <v>2142889.3248102246</v>
      </c>
      <c r="I839" s="783">
        <f t="shared" si="52"/>
        <v>0</v>
      </c>
      <c r="J839" s="783"/>
      <c r="K839" s="1304"/>
      <c r="L839" s="787"/>
      <c r="M839" s="1304"/>
      <c r="N839" s="787"/>
      <c r="O839" s="787"/>
    </row>
    <row r="840" spans="3:15">
      <c r="C840" s="779">
        <f>IF(D809="","-",+C839+1)</f>
        <v>2042</v>
      </c>
      <c r="D840" s="727">
        <f t="shared" si="48"/>
        <v>10427746.388888903</v>
      </c>
      <c r="E840" s="780">
        <f t="shared" si="53"/>
        <v>893806.83333333337</v>
      </c>
      <c r="F840" s="727">
        <f t="shared" si="49"/>
        <v>9533939.555555569</v>
      </c>
      <c r="G840" s="785">
        <f t="shared" si="50"/>
        <v>2040225.0104422607</v>
      </c>
      <c r="H840" s="786">
        <f t="shared" si="51"/>
        <v>2040225.0104422607</v>
      </c>
      <c r="I840" s="783">
        <f t="shared" si="52"/>
        <v>0</v>
      </c>
      <c r="J840" s="783"/>
      <c r="K840" s="1304"/>
      <c r="L840" s="787"/>
      <c r="M840" s="1304"/>
      <c r="N840" s="787"/>
      <c r="O840" s="787"/>
    </row>
    <row r="841" spans="3:15">
      <c r="C841" s="779">
        <f>IF(D809="","-",+C840+1)</f>
        <v>2043</v>
      </c>
      <c r="D841" s="727">
        <f t="shared" si="48"/>
        <v>9533939.555555569</v>
      </c>
      <c r="E841" s="780">
        <f t="shared" si="53"/>
        <v>893806.83333333337</v>
      </c>
      <c r="F841" s="727">
        <f t="shared" si="49"/>
        <v>8640132.7222222351</v>
      </c>
      <c r="G841" s="785">
        <f t="shared" si="50"/>
        <v>1937560.6960742972</v>
      </c>
      <c r="H841" s="786">
        <f t="shared" si="51"/>
        <v>1937560.6960742972</v>
      </c>
      <c r="I841" s="783">
        <f t="shared" si="52"/>
        <v>0</v>
      </c>
      <c r="J841" s="783"/>
      <c r="K841" s="1304"/>
      <c r="L841" s="787"/>
      <c r="M841" s="1304"/>
      <c r="N841" s="787"/>
      <c r="O841" s="787"/>
    </row>
    <row r="842" spans="3:15">
      <c r="C842" s="779">
        <f>IF(D809="","-",+C841+1)</f>
        <v>2044</v>
      </c>
      <c r="D842" s="727">
        <f t="shared" si="48"/>
        <v>8640132.7222222351</v>
      </c>
      <c r="E842" s="780">
        <f t="shared" si="53"/>
        <v>893806.83333333337</v>
      </c>
      <c r="F842" s="727">
        <f t="shared" si="49"/>
        <v>7746325.888888902</v>
      </c>
      <c r="G842" s="785">
        <f t="shared" si="50"/>
        <v>1834896.3817063337</v>
      </c>
      <c r="H842" s="786">
        <f t="shared" si="51"/>
        <v>1834896.3817063337</v>
      </c>
      <c r="I842" s="783">
        <f t="shared" si="52"/>
        <v>0</v>
      </c>
      <c r="J842" s="783"/>
      <c r="K842" s="1304"/>
      <c r="L842" s="787"/>
      <c r="M842" s="1304"/>
      <c r="N842" s="787"/>
      <c r="O842" s="787"/>
    </row>
    <row r="843" spans="3:15">
      <c r="C843" s="779">
        <f>IF(D809="","-",+C842+1)</f>
        <v>2045</v>
      </c>
      <c r="D843" s="727">
        <f t="shared" si="48"/>
        <v>7746325.888888902</v>
      </c>
      <c r="E843" s="780">
        <f t="shared" si="53"/>
        <v>893806.83333333337</v>
      </c>
      <c r="F843" s="727">
        <f t="shared" si="49"/>
        <v>6852519.055555569</v>
      </c>
      <c r="G843" s="781">
        <f t="shared" si="50"/>
        <v>1732232.0673383703</v>
      </c>
      <c r="H843" s="786">
        <f t="shared" si="51"/>
        <v>1732232.0673383703</v>
      </c>
      <c r="I843" s="783">
        <f t="shared" si="52"/>
        <v>0</v>
      </c>
      <c r="J843" s="783"/>
      <c r="K843" s="1304"/>
      <c r="L843" s="787"/>
      <c r="M843" s="1304"/>
      <c r="N843" s="787"/>
      <c r="O843" s="787"/>
    </row>
    <row r="844" spans="3:15">
      <c r="C844" s="779">
        <f>IF(D809="","-",+C843+1)</f>
        <v>2046</v>
      </c>
      <c r="D844" s="727">
        <f t="shared" si="48"/>
        <v>6852519.055555569</v>
      </c>
      <c r="E844" s="780">
        <f t="shared" si="53"/>
        <v>893806.83333333337</v>
      </c>
      <c r="F844" s="727">
        <f t="shared" si="49"/>
        <v>5958712.222222236</v>
      </c>
      <c r="G844" s="785">
        <f t="shared" si="50"/>
        <v>1629567.7529704068</v>
      </c>
      <c r="H844" s="786">
        <f t="shared" si="51"/>
        <v>1629567.7529704068</v>
      </c>
      <c r="I844" s="783">
        <f t="shared" si="52"/>
        <v>0</v>
      </c>
      <c r="J844" s="783"/>
      <c r="K844" s="1304"/>
      <c r="L844" s="787"/>
      <c r="M844" s="1304"/>
      <c r="N844" s="787"/>
      <c r="O844" s="787"/>
    </row>
    <row r="845" spans="3:15">
      <c r="C845" s="779">
        <f>IF(D809="","-",+C844+1)</f>
        <v>2047</v>
      </c>
      <c r="D845" s="727">
        <f t="shared" si="48"/>
        <v>5958712.222222236</v>
      </c>
      <c r="E845" s="780">
        <f t="shared" si="53"/>
        <v>893806.83333333337</v>
      </c>
      <c r="F845" s="727">
        <f t="shared" si="49"/>
        <v>5064905.388888903</v>
      </c>
      <c r="G845" s="785">
        <f t="shared" si="50"/>
        <v>1526903.4386024433</v>
      </c>
      <c r="H845" s="786">
        <f t="shared" si="51"/>
        <v>1526903.4386024433</v>
      </c>
      <c r="I845" s="783">
        <f t="shared" si="52"/>
        <v>0</v>
      </c>
      <c r="J845" s="783"/>
      <c r="K845" s="1304"/>
      <c r="L845" s="787"/>
      <c r="M845" s="1304"/>
      <c r="N845" s="787"/>
      <c r="O845" s="787"/>
    </row>
    <row r="846" spans="3:15">
      <c r="C846" s="779">
        <f>IF(D809="","-",+C845+1)</f>
        <v>2048</v>
      </c>
      <c r="D846" s="727">
        <f t="shared" si="48"/>
        <v>5064905.388888903</v>
      </c>
      <c r="E846" s="780">
        <f t="shared" si="53"/>
        <v>893806.83333333337</v>
      </c>
      <c r="F846" s="727">
        <f t="shared" si="49"/>
        <v>4171098.5555555695</v>
      </c>
      <c r="G846" s="785">
        <f t="shared" si="50"/>
        <v>1424239.1242344799</v>
      </c>
      <c r="H846" s="786">
        <f t="shared" si="51"/>
        <v>1424239.1242344799</v>
      </c>
      <c r="I846" s="783">
        <f t="shared" si="52"/>
        <v>0</v>
      </c>
      <c r="J846" s="783"/>
      <c r="K846" s="1304"/>
      <c r="L846" s="787"/>
      <c r="M846" s="1304"/>
      <c r="N846" s="787"/>
      <c r="O846" s="787"/>
    </row>
    <row r="847" spans="3:15">
      <c r="C847" s="779">
        <f>IF(D809="","-",+C846+1)</f>
        <v>2049</v>
      </c>
      <c r="D847" s="727">
        <f t="shared" si="48"/>
        <v>4171098.5555555695</v>
      </c>
      <c r="E847" s="780">
        <f t="shared" si="53"/>
        <v>893806.83333333337</v>
      </c>
      <c r="F847" s="727">
        <f t="shared" si="49"/>
        <v>3277291.722222236</v>
      </c>
      <c r="G847" s="785">
        <f t="shared" si="50"/>
        <v>1321574.8098665164</v>
      </c>
      <c r="H847" s="786">
        <f t="shared" si="51"/>
        <v>1321574.8098665164</v>
      </c>
      <c r="I847" s="783">
        <f t="shared" si="52"/>
        <v>0</v>
      </c>
      <c r="J847" s="783"/>
      <c r="K847" s="1304"/>
      <c r="L847" s="787"/>
      <c r="M847" s="1304"/>
      <c r="N847" s="787"/>
      <c r="O847" s="787"/>
    </row>
    <row r="848" spans="3:15">
      <c r="C848" s="779">
        <f>IF(D809="","-",+C847+1)</f>
        <v>2050</v>
      </c>
      <c r="D848" s="727">
        <f t="shared" si="48"/>
        <v>3277291.722222236</v>
      </c>
      <c r="E848" s="780">
        <f t="shared" si="53"/>
        <v>893806.83333333337</v>
      </c>
      <c r="F848" s="727">
        <f t="shared" si="49"/>
        <v>2383484.8888889025</v>
      </c>
      <c r="G848" s="785">
        <f t="shared" si="50"/>
        <v>1218910.4954985527</v>
      </c>
      <c r="H848" s="786">
        <f t="shared" si="51"/>
        <v>1218910.4954985527</v>
      </c>
      <c r="I848" s="783">
        <f t="shared" si="52"/>
        <v>0</v>
      </c>
      <c r="J848" s="783"/>
      <c r="K848" s="1304"/>
      <c r="L848" s="787"/>
      <c r="M848" s="1304"/>
      <c r="N848" s="787"/>
      <c r="O848" s="787"/>
    </row>
    <row r="849" spans="3:15">
      <c r="C849" s="779">
        <f>IF(D809="","-",+C848+1)</f>
        <v>2051</v>
      </c>
      <c r="D849" s="727">
        <f t="shared" si="48"/>
        <v>2383484.8888889025</v>
      </c>
      <c r="E849" s="780">
        <f t="shared" si="53"/>
        <v>893806.83333333337</v>
      </c>
      <c r="F849" s="727">
        <f t="shared" si="49"/>
        <v>1489678.055555569</v>
      </c>
      <c r="G849" s="785">
        <f t="shared" si="50"/>
        <v>1116246.1811305892</v>
      </c>
      <c r="H849" s="786">
        <f t="shared" si="51"/>
        <v>1116246.1811305892</v>
      </c>
      <c r="I849" s="783">
        <f t="shared" si="52"/>
        <v>0</v>
      </c>
      <c r="J849" s="783"/>
      <c r="K849" s="1304"/>
      <c r="L849" s="787"/>
      <c r="M849" s="1304"/>
      <c r="N849" s="787"/>
      <c r="O849" s="787"/>
    </row>
    <row r="850" spans="3:15">
      <c r="C850" s="779">
        <f>IF(D809="","-",+C849+1)</f>
        <v>2052</v>
      </c>
      <c r="D850" s="727">
        <f t="shared" si="48"/>
        <v>1489678.055555569</v>
      </c>
      <c r="E850" s="780">
        <f t="shared" si="53"/>
        <v>893806.83333333337</v>
      </c>
      <c r="F850" s="727">
        <f t="shared" si="49"/>
        <v>595871.22222223564</v>
      </c>
      <c r="G850" s="785">
        <f t="shared" si="50"/>
        <v>1013581.8667626256</v>
      </c>
      <c r="H850" s="786">
        <f t="shared" si="51"/>
        <v>1013581.8667626256</v>
      </c>
      <c r="I850" s="783">
        <f t="shared" si="52"/>
        <v>0</v>
      </c>
      <c r="J850" s="783"/>
      <c r="K850" s="1304"/>
      <c r="L850" s="787"/>
      <c r="M850" s="1304"/>
      <c r="N850" s="787"/>
      <c r="O850" s="787"/>
    </row>
    <row r="851" spans="3:15">
      <c r="C851" s="779">
        <f>IF(D809="","-",+C850+1)</f>
        <v>2053</v>
      </c>
      <c r="D851" s="727">
        <f t="shared" si="48"/>
        <v>595871.22222223564</v>
      </c>
      <c r="E851" s="780">
        <f t="shared" si="53"/>
        <v>595871.22222223564</v>
      </c>
      <c r="F851" s="727">
        <f t="shared" si="49"/>
        <v>0</v>
      </c>
      <c r="G851" s="785">
        <f t="shared" si="50"/>
        <v>630092.6603448909</v>
      </c>
      <c r="H851" s="786">
        <f t="shared" si="51"/>
        <v>630092.6603448909</v>
      </c>
      <c r="I851" s="783">
        <f t="shared" si="52"/>
        <v>0</v>
      </c>
      <c r="J851" s="783"/>
      <c r="K851" s="1304"/>
      <c r="L851" s="787"/>
      <c r="M851" s="1304"/>
      <c r="N851" s="787"/>
      <c r="O851" s="787"/>
    </row>
    <row r="852" spans="3:15">
      <c r="C852" s="779">
        <f>IF(D809="","-",+C851+1)</f>
        <v>2054</v>
      </c>
      <c r="D852" s="727">
        <f t="shared" si="48"/>
        <v>0</v>
      </c>
      <c r="E852" s="780">
        <f t="shared" si="53"/>
        <v>0</v>
      </c>
      <c r="F852" s="727">
        <f t="shared" si="49"/>
        <v>0</v>
      </c>
      <c r="G852" s="785">
        <f t="shared" si="50"/>
        <v>0</v>
      </c>
      <c r="H852" s="786">
        <f t="shared" si="51"/>
        <v>0</v>
      </c>
      <c r="I852" s="783">
        <f t="shared" si="52"/>
        <v>0</v>
      </c>
      <c r="J852" s="783"/>
      <c r="K852" s="1304"/>
      <c r="L852" s="787"/>
      <c r="M852" s="1304"/>
      <c r="N852" s="787"/>
      <c r="O852" s="787"/>
    </row>
    <row r="853" spans="3:15">
      <c r="C853" s="779">
        <f>IF(D809="","-",+C852+1)</f>
        <v>2055</v>
      </c>
      <c r="D853" s="727">
        <f t="shared" si="48"/>
        <v>0</v>
      </c>
      <c r="E853" s="780">
        <f t="shared" si="53"/>
        <v>0</v>
      </c>
      <c r="F853" s="727">
        <f t="shared" si="49"/>
        <v>0</v>
      </c>
      <c r="G853" s="785">
        <f t="shared" si="50"/>
        <v>0</v>
      </c>
      <c r="H853" s="786">
        <f t="shared" si="51"/>
        <v>0</v>
      </c>
      <c r="I853" s="783">
        <f t="shared" si="52"/>
        <v>0</v>
      </c>
      <c r="J853" s="783"/>
      <c r="K853" s="1304"/>
      <c r="L853" s="787"/>
      <c r="M853" s="1304"/>
      <c r="N853" s="787"/>
      <c r="O853" s="787"/>
    </row>
    <row r="854" spans="3:15">
      <c r="C854" s="779">
        <f>IF(D809="","-",+C853+1)</f>
        <v>2056</v>
      </c>
      <c r="D854" s="727">
        <f t="shared" si="48"/>
        <v>0</v>
      </c>
      <c r="E854" s="780">
        <f t="shared" si="53"/>
        <v>0</v>
      </c>
      <c r="F854" s="727">
        <f t="shared" si="49"/>
        <v>0</v>
      </c>
      <c r="G854" s="785">
        <f t="shared" si="50"/>
        <v>0</v>
      </c>
      <c r="H854" s="786">
        <f t="shared" si="51"/>
        <v>0</v>
      </c>
      <c r="I854" s="783">
        <f t="shared" si="52"/>
        <v>0</v>
      </c>
      <c r="J854" s="783"/>
      <c r="K854" s="1304"/>
      <c r="L854" s="787"/>
      <c r="M854" s="1304"/>
      <c r="N854" s="787"/>
      <c r="O854" s="787"/>
    </row>
    <row r="855" spans="3:15">
      <c r="C855" s="779">
        <f>IF(D809="","-",+C854+1)</f>
        <v>2057</v>
      </c>
      <c r="D855" s="727">
        <f t="shared" si="48"/>
        <v>0</v>
      </c>
      <c r="E855" s="780">
        <f t="shared" si="53"/>
        <v>0</v>
      </c>
      <c r="F855" s="727">
        <f t="shared" si="49"/>
        <v>0</v>
      </c>
      <c r="G855" s="785">
        <f t="shared" si="50"/>
        <v>0</v>
      </c>
      <c r="H855" s="786">
        <f t="shared" si="51"/>
        <v>0</v>
      </c>
      <c r="I855" s="783">
        <f t="shared" si="52"/>
        <v>0</v>
      </c>
      <c r="J855" s="783"/>
      <c r="K855" s="1304"/>
      <c r="L855" s="787"/>
      <c r="M855" s="1304"/>
      <c r="N855" s="787"/>
      <c r="O855" s="787"/>
    </row>
    <row r="856" spans="3:15">
      <c r="C856" s="779">
        <f>IF(D809="","-",+C855+1)</f>
        <v>2058</v>
      </c>
      <c r="D856" s="727">
        <f t="shared" si="48"/>
        <v>0</v>
      </c>
      <c r="E856" s="780">
        <f t="shared" si="53"/>
        <v>0</v>
      </c>
      <c r="F856" s="727">
        <f t="shared" si="49"/>
        <v>0</v>
      </c>
      <c r="G856" s="785">
        <f t="shared" si="50"/>
        <v>0</v>
      </c>
      <c r="H856" s="786">
        <f t="shared" si="51"/>
        <v>0</v>
      </c>
      <c r="I856" s="783">
        <f t="shared" si="52"/>
        <v>0</v>
      </c>
      <c r="J856" s="783"/>
      <c r="K856" s="1304"/>
      <c r="L856" s="787"/>
      <c r="M856" s="1304"/>
      <c r="N856" s="787"/>
      <c r="O856" s="787"/>
    </row>
    <row r="857" spans="3:15">
      <c r="C857" s="779">
        <f>IF(D809="","-",+C856+1)</f>
        <v>2059</v>
      </c>
      <c r="D857" s="727">
        <f t="shared" si="48"/>
        <v>0</v>
      </c>
      <c r="E857" s="780">
        <f t="shared" si="53"/>
        <v>0</v>
      </c>
      <c r="F857" s="727">
        <f t="shared" si="49"/>
        <v>0</v>
      </c>
      <c r="G857" s="785">
        <f t="shared" si="50"/>
        <v>0</v>
      </c>
      <c r="H857" s="786">
        <f t="shared" si="51"/>
        <v>0</v>
      </c>
      <c r="I857" s="783">
        <f t="shared" si="52"/>
        <v>0</v>
      </c>
      <c r="J857" s="783"/>
      <c r="K857" s="1304"/>
      <c r="L857" s="787"/>
      <c r="M857" s="1304"/>
      <c r="N857" s="787"/>
      <c r="O857" s="787"/>
    </row>
    <row r="858" spans="3:15">
      <c r="C858" s="779">
        <f>IF(D809="","-",+C857+1)</f>
        <v>2060</v>
      </c>
      <c r="D858" s="727">
        <f t="shared" si="48"/>
        <v>0</v>
      </c>
      <c r="E858" s="780">
        <f t="shared" si="53"/>
        <v>0</v>
      </c>
      <c r="F858" s="727">
        <f t="shared" si="49"/>
        <v>0</v>
      </c>
      <c r="G858" s="785">
        <f t="shared" si="50"/>
        <v>0</v>
      </c>
      <c r="H858" s="786">
        <f t="shared" si="51"/>
        <v>0</v>
      </c>
      <c r="I858" s="783">
        <f t="shared" si="52"/>
        <v>0</v>
      </c>
      <c r="J858" s="783"/>
      <c r="K858" s="1304"/>
      <c r="L858" s="787"/>
      <c r="M858" s="1304"/>
      <c r="N858" s="787"/>
      <c r="O858" s="787"/>
    </row>
    <row r="859" spans="3:15">
      <c r="C859" s="779">
        <f>IF(D809="","-",+C858+1)</f>
        <v>2061</v>
      </c>
      <c r="D859" s="727">
        <f t="shared" si="48"/>
        <v>0</v>
      </c>
      <c r="E859" s="780">
        <f t="shared" si="53"/>
        <v>0</v>
      </c>
      <c r="F859" s="727">
        <f t="shared" si="49"/>
        <v>0</v>
      </c>
      <c r="G859" s="785">
        <f t="shared" si="50"/>
        <v>0</v>
      </c>
      <c r="H859" s="786">
        <f t="shared" si="51"/>
        <v>0</v>
      </c>
      <c r="I859" s="783">
        <f t="shared" si="52"/>
        <v>0</v>
      </c>
      <c r="J859" s="783"/>
      <c r="K859" s="1304"/>
      <c r="L859" s="787"/>
      <c r="M859" s="1304"/>
      <c r="N859" s="787"/>
      <c r="O859" s="787"/>
    </row>
    <row r="860" spans="3:15">
      <c r="C860" s="779">
        <f>IF(D809="","-",+C859+1)</f>
        <v>2062</v>
      </c>
      <c r="D860" s="727">
        <f t="shared" si="48"/>
        <v>0</v>
      </c>
      <c r="E860" s="780">
        <f t="shared" si="53"/>
        <v>0</v>
      </c>
      <c r="F860" s="727">
        <f t="shared" si="49"/>
        <v>0</v>
      </c>
      <c r="G860" s="785">
        <f t="shared" si="50"/>
        <v>0</v>
      </c>
      <c r="H860" s="786">
        <f t="shared" si="51"/>
        <v>0</v>
      </c>
      <c r="I860" s="783">
        <f t="shared" si="52"/>
        <v>0</v>
      </c>
      <c r="J860" s="783"/>
      <c r="K860" s="1304"/>
      <c r="L860" s="787"/>
      <c r="M860" s="1304"/>
      <c r="N860" s="787"/>
      <c r="O860" s="787"/>
    </row>
    <row r="861" spans="3:15">
      <c r="C861" s="779">
        <f>IF(D809="","-",+C860+1)</f>
        <v>2063</v>
      </c>
      <c r="D861" s="727">
        <f t="shared" si="48"/>
        <v>0</v>
      </c>
      <c r="E861" s="780">
        <f t="shared" si="53"/>
        <v>0</v>
      </c>
      <c r="F861" s="727">
        <f t="shared" si="49"/>
        <v>0</v>
      </c>
      <c r="G861" s="785">
        <f t="shared" si="50"/>
        <v>0</v>
      </c>
      <c r="H861" s="786">
        <f t="shared" si="51"/>
        <v>0</v>
      </c>
      <c r="I861" s="783">
        <f t="shared" si="52"/>
        <v>0</v>
      </c>
      <c r="J861" s="783"/>
      <c r="K861" s="1304"/>
      <c r="L861" s="787"/>
      <c r="M861" s="1304"/>
      <c r="N861" s="787"/>
      <c r="O861" s="787"/>
    </row>
    <row r="862" spans="3:15">
      <c r="C862" s="779">
        <f>IF(D809="","-",+C861+1)</f>
        <v>2064</v>
      </c>
      <c r="D862" s="727">
        <f t="shared" si="48"/>
        <v>0</v>
      </c>
      <c r="E862" s="780">
        <f t="shared" si="53"/>
        <v>0</v>
      </c>
      <c r="F862" s="727">
        <f t="shared" si="49"/>
        <v>0</v>
      </c>
      <c r="G862" s="785">
        <f t="shared" si="50"/>
        <v>0</v>
      </c>
      <c r="H862" s="786">
        <f t="shared" si="51"/>
        <v>0</v>
      </c>
      <c r="I862" s="783">
        <f t="shared" si="52"/>
        <v>0</v>
      </c>
      <c r="J862" s="783"/>
      <c r="K862" s="1304"/>
      <c r="L862" s="787"/>
      <c r="M862" s="1304"/>
      <c r="N862" s="787"/>
      <c r="O862" s="787"/>
    </row>
    <row r="863" spans="3:15">
      <c r="C863" s="779">
        <f>IF(D809="","-",+C862+1)</f>
        <v>2065</v>
      </c>
      <c r="D863" s="727">
        <f t="shared" si="48"/>
        <v>0</v>
      </c>
      <c r="E863" s="780">
        <f t="shared" si="53"/>
        <v>0</v>
      </c>
      <c r="F863" s="727">
        <f t="shared" si="49"/>
        <v>0</v>
      </c>
      <c r="G863" s="785">
        <f t="shared" si="50"/>
        <v>0</v>
      </c>
      <c r="H863" s="786">
        <f t="shared" si="51"/>
        <v>0</v>
      </c>
      <c r="I863" s="783">
        <f t="shared" si="52"/>
        <v>0</v>
      </c>
      <c r="J863" s="783"/>
      <c r="K863" s="1304"/>
      <c r="L863" s="787"/>
      <c r="M863" s="1304"/>
      <c r="N863" s="787"/>
      <c r="O863" s="787"/>
    </row>
    <row r="864" spans="3:15">
      <c r="C864" s="779">
        <f>IF(D809="","-",+C863+1)</f>
        <v>2066</v>
      </c>
      <c r="D864" s="727">
        <f t="shared" si="48"/>
        <v>0</v>
      </c>
      <c r="E864" s="780">
        <f t="shared" si="53"/>
        <v>0</v>
      </c>
      <c r="F864" s="727">
        <f t="shared" si="49"/>
        <v>0</v>
      </c>
      <c r="G864" s="785">
        <f t="shared" si="50"/>
        <v>0</v>
      </c>
      <c r="H864" s="786">
        <f t="shared" si="51"/>
        <v>0</v>
      </c>
      <c r="I864" s="783">
        <f t="shared" si="52"/>
        <v>0</v>
      </c>
      <c r="J864" s="783"/>
      <c r="K864" s="1304"/>
      <c r="L864" s="787"/>
      <c r="M864" s="1304"/>
      <c r="N864" s="787"/>
      <c r="O864" s="787"/>
    </row>
    <row r="865" spans="3:15">
      <c r="C865" s="779">
        <f>IF(D809="","-",+C864+1)</f>
        <v>2067</v>
      </c>
      <c r="D865" s="727">
        <f t="shared" si="48"/>
        <v>0</v>
      </c>
      <c r="E865" s="780">
        <f t="shared" si="53"/>
        <v>0</v>
      </c>
      <c r="F865" s="727">
        <f t="shared" si="49"/>
        <v>0</v>
      </c>
      <c r="G865" s="785">
        <f t="shared" si="50"/>
        <v>0</v>
      </c>
      <c r="H865" s="786">
        <f t="shared" si="51"/>
        <v>0</v>
      </c>
      <c r="I865" s="783">
        <f t="shared" si="52"/>
        <v>0</v>
      </c>
      <c r="J865" s="783"/>
      <c r="K865" s="1304"/>
      <c r="L865" s="787"/>
      <c r="M865" s="1304"/>
      <c r="N865" s="787"/>
      <c r="O865" s="787"/>
    </row>
    <row r="866" spans="3:15">
      <c r="C866" s="779">
        <f>IF(D809="","-",+C865+1)</f>
        <v>2068</v>
      </c>
      <c r="D866" s="727">
        <f t="shared" si="48"/>
        <v>0</v>
      </c>
      <c r="E866" s="780">
        <f t="shared" si="53"/>
        <v>0</v>
      </c>
      <c r="F866" s="727">
        <f t="shared" si="49"/>
        <v>0</v>
      </c>
      <c r="G866" s="785">
        <f t="shared" si="50"/>
        <v>0</v>
      </c>
      <c r="H866" s="786">
        <f t="shared" si="51"/>
        <v>0</v>
      </c>
      <c r="I866" s="783">
        <f t="shared" si="52"/>
        <v>0</v>
      </c>
      <c r="J866" s="783"/>
      <c r="K866" s="1304"/>
      <c r="L866" s="787"/>
      <c r="M866" s="1304"/>
      <c r="N866" s="787"/>
      <c r="O866" s="787"/>
    </row>
    <row r="867" spans="3:15">
      <c r="C867" s="779">
        <f>IF(D809="","-",+C866+1)</f>
        <v>2069</v>
      </c>
      <c r="D867" s="727">
        <f t="shared" si="48"/>
        <v>0</v>
      </c>
      <c r="E867" s="780">
        <f t="shared" si="53"/>
        <v>0</v>
      </c>
      <c r="F867" s="727">
        <f t="shared" si="49"/>
        <v>0</v>
      </c>
      <c r="G867" s="785">
        <f t="shared" si="50"/>
        <v>0</v>
      </c>
      <c r="H867" s="786">
        <f t="shared" si="51"/>
        <v>0</v>
      </c>
      <c r="I867" s="783">
        <f t="shared" si="52"/>
        <v>0</v>
      </c>
      <c r="J867" s="783"/>
      <c r="K867" s="1304"/>
      <c r="L867" s="787"/>
      <c r="M867" s="1304"/>
      <c r="N867" s="787"/>
      <c r="O867" s="787"/>
    </row>
    <row r="868" spans="3:15">
      <c r="C868" s="779">
        <f>IF(D809="","-",+C867+1)</f>
        <v>2070</v>
      </c>
      <c r="D868" s="727">
        <f t="shared" si="48"/>
        <v>0</v>
      </c>
      <c r="E868" s="780">
        <f t="shared" si="53"/>
        <v>0</v>
      </c>
      <c r="F868" s="727">
        <f t="shared" si="49"/>
        <v>0</v>
      </c>
      <c r="G868" s="785">
        <f t="shared" si="50"/>
        <v>0</v>
      </c>
      <c r="H868" s="786">
        <f t="shared" si="51"/>
        <v>0</v>
      </c>
      <c r="I868" s="783">
        <f t="shared" si="52"/>
        <v>0</v>
      </c>
      <c r="J868" s="783"/>
      <c r="K868" s="1304"/>
      <c r="L868" s="787"/>
      <c r="M868" s="1304"/>
      <c r="N868" s="787"/>
      <c r="O868" s="787"/>
    </row>
    <row r="869" spans="3:15">
      <c r="C869" s="779">
        <f>IF(D809="","-",+C868+1)</f>
        <v>2071</v>
      </c>
      <c r="D869" s="727">
        <f t="shared" si="48"/>
        <v>0</v>
      </c>
      <c r="E869" s="780">
        <f t="shared" si="53"/>
        <v>0</v>
      </c>
      <c r="F869" s="727">
        <f t="shared" si="49"/>
        <v>0</v>
      </c>
      <c r="G869" s="785">
        <f t="shared" si="50"/>
        <v>0</v>
      </c>
      <c r="H869" s="786">
        <f t="shared" si="51"/>
        <v>0</v>
      </c>
      <c r="I869" s="783">
        <f t="shared" si="52"/>
        <v>0</v>
      </c>
      <c r="J869" s="783"/>
      <c r="K869" s="1304"/>
      <c r="L869" s="787"/>
      <c r="M869" s="1304"/>
      <c r="N869" s="787"/>
      <c r="O869" s="787"/>
    </row>
    <row r="870" spans="3:15">
      <c r="C870" s="779">
        <f>IF(D809="","-",+C869+1)</f>
        <v>2072</v>
      </c>
      <c r="D870" s="727">
        <f t="shared" si="48"/>
        <v>0</v>
      </c>
      <c r="E870" s="780">
        <f t="shared" si="53"/>
        <v>0</v>
      </c>
      <c r="F870" s="727">
        <f t="shared" si="49"/>
        <v>0</v>
      </c>
      <c r="G870" s="785">
        <f t="shared" si="50"/>
        <v>0</v>
      </c>
      <c r="H870" s="786">
        <f t="shared" si="51"/>
        <v>0</v>
      </c>
      <c r="I870" s="783">
        <f t="shared" si="52"/>
        <v>0</v>
      </c>
      <c r="J870" s="783"/>
      <c r="K870" s="1304"/>
      <c r="L870" s="787"/>
      <c r="M870" s="1304"/>
      <c r="N870" s="787"/>
      <c r="O870" s="787"/>
    </row>
    <row r="871" spans="3:15">
      <c r="C871" s="779">
        <f>IF(D809="","-",+C870+1)</f>
        <v>2073</v>
      </c>
      <c r="D871" s="727">
        <f t="shared" si="48"/>
        <v>0</v>
      </c>
      <c r="E871" s="780">
        <f t="shared" si="53"/>
        <v>0</v>
      </c>
      <c r="F871" s="727">
        <f t="shared" si="49"/>
        <v>0</v>
      </c>
      <c r="G871" s="785">
        <f t="shared" si="50"/>
        <v>0</v>
      </c>
      <c r="H871" s="786">
        <f t="shared" si="51"/>
        <v>0</v>
      </c>
      <c r="I871" s="783">
        <f t="shared" si="52"/>
        <v>0</v>
      </c>
      <c r="J871" s="783"/>
      <c r="K871" s="1304"/>
      <c r="L871" s="787"/>
      <c r="M871" s="1304"/>
      <c r="N871" s="787"/>
      <c r="O871" s="787"/>
    </row>
    <row r="872" spans="3:15">
      <c r="C872" s="779">
        <f>IF(D809="","-",+C871+1)</f>
        <v>2074</v>
      </c>
      <c r="D872" s="727">
        <f t="shared" si="48"/>
        <v>0</v>
      </c>
      <c r="E872" s="780">
        <f t="shared" si="53"/>
        <v>0</v>
      </c>
      <c r="F872" s="727">
        <f t="shared" si="49"/>
        <v>0</v>
      </c>
      <c r="G872" s="785">
        <f t="shared" si="50"/>
        <v>0</v>
      </c>
      <c r="H872" s="786">
        <f t="shared" si="51"/>
        <v>0</v>
      </c>
      <c r="I872" s="783">
        <f t="shared" si="52"/>
        <v>0</v>
      </c>
      <c r="J872" s="783"/>
      <c r="K872" s="1304"/>
      <c r="L872" s="787"/>
      <c r="M872" s="1304"/>
      <c r="N872" s="787"/>
      <c r="O872" s="787"/>
    </row>
    <row r="873" spans="3:15">
      <c r="C873" s="779">
        <f>IF(D809="","-",+C872+1)</f>
        <v>2075</v>
      </c>
      <c r="D873" s="727">
        <f t="shared" si="48"/>
        <v>0</v>
      </c>
      <c r="E873" s="780">
        <f t="shared" si="53"/>
        <v>0</v>
      </c>
      <c r="F873" s="727">
        <f t="shared" si="49"/>
        <v>0</v>
      </c>
      <c r="G873" s="785">
        <f t="shared" si="50"/>
        <v>0</v>
      </c>
      <c r="H873" s="786">
        <f t="shared" si="51"/>
        <v>0</v>
      </c>
      <c r="I873" s="783">
        <f t="shared" si="52"/>
        <v>0</v>
      </c>
      <c r="J873" s="783"/>
      <c r="K873" s="1304"/>
      <c r="L873" s="787"/>
      <c r="M873" s="1304"/>
      <c r="N873" s="787"/>
      <c r="O873" s="787"/>
    </row>
    <row r="874" spans="3:15" ht="13.5" thickBot="1">
      <c r="C874" s="789">
        <f>IF(D809="","-",+C873+1)</f>
        <v>2076</v>
      </c>
      <c r="D874" s="790">
        <f t="shared" si="48"/>
        <v>0</v>
      </c>
      <c r="E874" s="791">
        <f t="shared" si="53"/>
        <v>0</v>
      </c>
      <c r="F874" s="790">
        <f t="shared" si="49"/>
        <v>0</v>
      </c>
      <c r="G874" s="792">
        <f t="shared" si="50"/>
        <v>0</v>
      </c>
      <c r="H874" s="792">
        <f t="shared" si="51"/>
        <v>0</v>
      </c>
      <c r="I874" s="793">
        <f t="shared" si="52"/>
        <v>0</v>
      </c>
      <c r="J874" s="783"/>
      <c r="K874" s="1305"/>
      <c r="L874" s="794"/>
      <c r="M874" s="1305"/>
      <c r="N874" s="794"/>
      <c r="O874" s="794"/>
    </row>
    <row r="875" spans="3:15">
      <c r="C875" s="727" t="s">
        <v>93</v>
      </c>
      <c r="D875" s="721"/>
      <c r="E875" s="721">
        <f>SUM(E815:E874)</f>
        <v>32177045.999999996</v>
      </c>
      <c r="F875" s="721"/>
      <c r="G875" s="721">
        <f>SUM(G815:G874)</f>
        <v>101167465.25527154</v>
      </c>
      <c r="H875" s="721">
        <f>SUM(H815:H874)</f>
        <v>101167465.25527154</v>
      </c>
      <c r="I875" s="721">
        <f>SUM(I815:I874)</f>
        <v>0</v>
      </c>
      <c r="J875" s="721"/>
      <c r="K875" s="721"/>
      <c r="L875" s="721"/>
      <c r="M875" s="721"/>
      <c r="N875" s="721"/>
      <c r="O875" s="308"/>
    </row>
    <row r="876" spans="3:15">
      <c r="D876" s="529"/>
      <c r="E876" s="308"/>
      <c r="F876" s="308"/>
      <c r="G876" s="308"/>
      <c r="H876" s="699"/>
      <c r="I876" s="699"/>
      <c r="J876" s="721"/>
      <c r="K876" s="699"/>
      <c r="L876" s="699"/>
      <c r="M876" s="699"/>
      <c r="N876" s="699"/>
      <c r="O876" s="308"/>
    </row>
    <row r="877" spans="3:15">
      <c r="C877" s="308" t="s">
        <v>15</v>
      </c>
      <c r="D877" s="529"/>
      <c r="E877" s="308"/>
      <c r="F877" s="308"/>
      <c r="G877" s="308"/>
      <c r="H877" s="699"/>
      <c r="I877" s="699"/>
      <c r="J877" s="721"/>
      <c r="K877" s="699"/>
      <c r="L877" s="699"/>
      <c r="M877" s="699"/>
      <c r="N877" s="699"/>
      <c r="O877" s="308"/>
    </row>
    <row r="878" spans="3:15">
      <c r="C878" s="308"/>
      <c r="D878" s="529"/>
      <c r="E878" s="308"/>
      <c r="F878" s="308"/>
      <c r="G878" s="308"/>
      <c r="H878" s="699"/>
      <c r="I878" s="699"/>
      <c r="J878" s="721"/>
      <c r="K878" s="699"/>
      <c r="L878" s="699"/>
      <c r="M878" s="699"/>
      <c r="N878" s="699"/>
      <c r="O878" s="308"/>
    </row>
    <row r="879" spans="3:15">
      <c r="C879" s="740" t="s">
        <v>16</v>
      </c>
      <c r="D879" s="727"/>
      <c r="E879" s="727"/>
      <c r="F879" s="727"/>
      <c r="G879" s="721"/>
      <c r="H879" s="721"/>
      <c r="I879" s="795"/>
      <c r="J879" s="795"/>
      <c r="K879" s="795"/>
      <c r="L879" s="795"/>
      <c r="M879" s="795"/>
      <c r="N879" s="795"/>
      <c r="O879" s="308"/>
    </row>
    <row r="880" spans="3:15">
      <c r="C880" s="726" t="s">
        <v>273</v>
      </c>
      <c r="D880" s="727"/>
      <c r="E880" s="727"/>
      <c r="F880" s="727"/>
      <c r="G880" s="721"/>
      <c r="H880" s="721"/>
      <c r="I880" s="795"/>
      <c r="J880" s="795"/>
      <c r="K880" s="795"/>
      <c r="L880" s="795"/>
      <c r="M880" s="795"/>
      <c r="N880" s="795"/>
      <c r="O880" s="308"/>
    </row>
    <row r="881" spans="1:16">
      <c r="C881" s="726" t="s">
        <v>94</v>
      </c>
      <c r="D881" s="727"/>
      <c r="E881" s="727"/>
      <c r="F881" s="727"/>
      <c r="G881" s="721"/>
      <c r="H881" s="721"/>
      <c r="I881" s="795"/>
      <c r="J881" s="795"/>
      <c r="K881" s="795"/>
      <c r="L881" s="795"/>
      <c r="M881" s="795"/>
      <c r="N881" s="795"/>
      <c r="O881" s="308"/>
    </row>
    <row r="882" spans="1:16">
      <c r="C882" s="726"/>
      <c r="D882" s="727"/>
      <c r="E882" s="727"/>
      <c r="F882" s="727"/>
      <c r="G882" s="721"/>
      <c r="H882" s="721"/>
      <c r="I882" s="795"/>
      <c r="J882" s="795"/>
      <c r="K882" s="795"/>
      <c r="L882" s="795"/>
      <c r="M882" s="795"/>
      <c r="N882" s="795"/>
      <c r="O882" s="308"/>
    </row>
    <row r="883" spans="1:16">
      <c r="C883" s="1552" t="s">
        <v>8</v>
      </c>
      <c r="D883" s="1552"/>
      <c r="E883" s="1552"/>
      <c r="F883" s="1552"/>
      <c r="G883" s="1552"/>
      <c r="H883" s="1552"/>
      <c r="I883" s="1552"/>
      <c r="J883" s="1552"/>
      <c r="K883" s="1552"/>
      <c r="L883" s="1552"/>
      <c r="M883" s="1552"/>
      <c r="N883" s="1552"/>
      <c r="O883" s="1552"/>
    </row>
    <row r="884" spans="1:16">
      <c r="C884" s="1552"/>
      <c r="D884" s="1552"/>
      <c r="E884" s="1552"/>
      <c r="F884" s="1552"/>
      <c r="G884" s="1552"/>
      <c r="H884" s="1552"/>
      <c r="I884" s="1552"/>
      <c r="J884" s="1552"/>
      <c r="K884" s="1552"/>
      <c r="L884" s="1552"/>
      <c r="M884" s="1552"/>
      <c r="N884" s="1552"/>
      <c r="O884" s="1552"/>
    </row>
    <row r="887" spans="1:16" ht="20.25">
      <c r="A887" s="728" t="str">
        <f>""&amp;A811&amp;" Worksheet J -  ATRR PROJECTED Calculation for PJM Projects Charged to Benefiting Zones"</f>
        <v xml:space="preserve"> Worksheet J -  ATRR PROJECTED Calculation for PJM Projects Charged to Benefiting Zones</v>
      </c>
      <c r="B887" s="341"/>
      <c r="C887" s="716"/>
      <c r="D887" s="529"/>
      <c r="E887" s="308"/>
      <c r="F887" s="698"/>
      <c r="G887" s="308"/>
      <c r="H887" s="699"/>
      <c r="K887" s="555"/>
      <c r="L887" s="555"/>
      <c r="M887" s="555"/>
      <c r="N887" s="644" t="str">
        <f>"Page "&amp;SUM(P$8:P887)&amp;" of "</f>
        <v xml:space="preserve">Page 11 of </v>
      </c>
      <c r="O887" s="645">
        <f>COUNT(P$8:P$56656)</f>
        <v>11</v>
      </c>
      <c r="P887" s="172">
        <v>1</v>
      </c>
    </row>
    <row r="888" spans="1:16" ht="20.25">
      <c r="A888" s="728"/>
      <c r="B888" s="341"/>
      <c r="C888" s="716"/>
      <c r="D888" s="529"/>
      <c r="E888" s="308"/>
      <c r="F888" s="698"/>
      <c r="G888" s="308"/>
      <c r="H888" s="699"/>
      <c r="K888" s="555"/>
      <c r="L888" s="555"/>
      <c r="M888" s="555"/>
      <c r="N888" s="644"/>
      <c r="O888" s="645"/>
    </row>
    <row r="889" spans="1:16" ht="18">
      <c r="B889" s="648" t="s">
        <v>474</v>
      </c>
      <c r="C889" s="730" t="s">
        <v>95</v>
      </c>
      <c r="D889" s="529"/>
      <c r="E889" s="308"/>
      <c r="F889" s="308"/>
      <c r="G889" s="308"/>
      <c r="H889" s="699"/>
      <c r="I889" s="699"/>
      <c r="J889" s="721"/>
      <c r="K889" s="699"/>
      <c r="L889" s="699"/>
      <c r="M889" s="699"/>
      <c r="N889" s="699"/>
      <c r="O889" s="308"/>
    </row>
    <row r="890" spans="1:16" ht="18.75">
      <c r="B890" s="648"/>
      <c r="C890" s="647"/>
      <c r="D890" s="529"/>
      <c r="E890" s="308"/>
      <c r="F890" s="308"/>
      <c r="G890" s="308"/>
      <c r="H890" s="699"/>
      <c r="I890" s="699"/>
      <c r="J890" s="721"/>
      <c r="K890" s="699"/>
      <c r="L890" s="699"/>
      <c r="M890" s="699"/>
      <c r="N890" s="699"/>
      <c r="O890" s="308"/>
    </row>
    <row r="891" spans="1:16" ht="18.75">
      <c r="B891" s="648"/>
      <c r="C891" s="647" t="s">
        <v>96</v>
      </c>
      <c r="D891" s="529"/>
      <c r="E891" s="308"/>
      <c r="F891" s="308"/>
      <c r="G891" s="308"/>
      <c r="H891" s="699"/>
      <c r="I891" s="699"/>
      <c r="J891" s="721"/>
      <c r="K891" s="699"/>
      <c r="L891" s="699"/>
      <c r="M891" s="699"/>
      <c r="N891" s="699"/>
      <c r="O891" s="308"/>
    </row>
    <row r="892" spans="1:16" ht="15.75" thickBot="1">
      <c r="C892" s="239"/>
      <c r="D892" s="529"/>
      <c r="E892" s="308"/>
      <c r="F892" s="308"/>
      <c r="G892" s="308"/>
      <c r="H892" s="699"/>
      <c r="I892" s="699"/>
      <c r="J892" s="721"/>
      <c r="K892" s="699"/>
      <c r="L892" s="699"/>
      <c r="M892" s="699"/>
      <c r="N892" s="699"/>
      <c r="O892" s="308"/>
    </row>
    <row r="893" spans="1:16" ht="15.75">
      <c r="C893" s="650" t="s">
        <v>97</v>
      </c>
      <c r="D893" s="529"/>
      <c r="E893" s="308"/>
      <c r="F893" s="308"/>
      <c r="G893" s="797"/>
      <c r="H893" s="308" t="s">
        <v>76</v>
      </c>
      <c r="I893" s="308"/>
      <c r="J893" s="418"/>
      <c r="K893" s="731" t="s">
        <v>101</v>
      </c>
      <c r="L893" s="732"/>
      <c r="M893" s="733"/>
      <c r="N893" s="734">
        <f>IF(I899=0,0,VLOOKUP(I899,C906:O965,5))</f>
        <v>1040753.593694897</v>
      </c>
      <c r="O893" s="308"/>
    </row>
    <row r="894" spans="1:16" ht="15.75">
      <c r="C894" s="650"/>
      <c r="D894" s="529"/>
      <c r="E894" s="308"/>
      <c r="F894" s="308"/>
      <c r="G894" s="308"/>
      <c r="H894" s="735"/>
      <c r="I894" s="735"/>
      <c r="J894" s="736"/>
      <c r="K894" s="737" t="s">
        <v>102</v>
      </c>
      <c r="L894" s="738"/>
      <c r="M894" s="418"/>
      <c r="N894" s="739">
        <f>IF(I899=0,0,VLOOKUP(I899,C906:O965,6))</f>
        <v>1040753.593694897</v>
      </c>
      <c r="O894" s="308"/>
    </row>
    <row r="895" spans="1:16" ht="13.5" thickBot="1">
      <c r="C895" s="740" t="s">
        <v>98</v>
      </c>
      <c r="D895" s="1553" t="s">
        <v>831</v>
      </c>
      <c r="E895" s="1553"/>
      <c r="F895" s="1553"/>
      <c r="G895" s="1553"/>
      <c r="H895" s="1553"/>
      <c r="I895" s="1553"/>
      <c r="J895" s="721"/>
      <c r="K895" s="741" t="s">
        <v>240</v>
      </c>
      <c r="L895" s="742"/>
      <c r="M895" s="742"/>
      <c r="N895" s="743">
        <f>+N894-N893</f>
        <v>0</v>
      </c>
      <c r="O895" s="308"/>
    </row>
    <row r="896" spans="1:16">
      <c r="C896" s="744"/>
      <c r="D896" s="1553"/>
      <c r="E896" s="1553"/>
      <c r="F896" s="1553"/>
      <c r="G896" s="1553"/>
      <c r="H896" s="1553"/>
      <c r="I896" s="1553"/>
      <c r="J896" s="721"/>
      <c r="K896" s="699"/>
      <c r="L896" s="699"/>
      <c r="M896" s="699"/>
      <c r="N896" s="699"/>
      <c r="O896" s="308"/>
    </row>
    <row r="897" spans="2:15" ht="13.5" thickBot="1">
      <c r="C897" s="747"/>
      <c r="D897" s="748"/>
      <c r="E897" s="746"/>
      <c r="F897" s="746"/>
      <c r="G897" s="746"/>
      <c r="H897" s="746"/>
      <c r="I897" s="746"/>
      <c r="J897" s="749"/>
      <c r="K897" s="746"/>
      <c r="L897" s="746"/>
      <c r="M897" s="746"/>
      <c r="N897" s="746"/>
      <c r="O897" s="341"/>
    </row>
    <row r="898" spans="2:15" ht="13.5" thickBot="1">
      <c r="C898" s="750" t="s">
        <v>99</v>
      </c>
      <c r="D898" s="751"/>
      <c r="E898" s="751"/>
      <c r="F898" s="751"/>
      <c r="G898" s="751"/>
      <c r="H898" s="751"/>
      <c r="I898" s="752"/>
      <c r="J898" s="753"/>
      <c r="K898" s="308"/>
      <c r="L898" s="308"/>
      <c r="M898" s="308"/>
      <c r="N898" s="308"/>
      <c r="O898" s="754"/>
    </row>
    <row r="899" spans="2:15" ht="15">
      <c r="C899" s="755" t="s">
        <v>77</v>
      </c>
      <c r="D899" s="1300">
        <v>8427428</v>
      </c>
      <c r="E899" s="716" t="s">
        <v>78</v>
      </c>
      <c r="G899" s="756"/>
      <c r="H899" s="756"/>
      <c r="I899" s="757">
        <f>$L$26</f>
        <v>2022</v>
      </c>
      <c r="J899" s="545"/>
      <c r="K899" s="1554" t="s">
        <v>249</v>
      </c>
      <c r="L899" s="1554"/>
      <c r="M899" s="1554"/>
      <c r="N899" s="1554"/>
      <c r="O899" s="1554"/>
    </row>
    <row r="900" spans="2:15">
      <c r="C900" s="755" t="s">
        <v>80</v>
      </c>
      <c r="D900" s="1301">
        <v>2016</v>
      </c>
      <c r="E900" s="755" t="s">
        <v>81</v>
      </c>
      <c r="F900" s="756"/>
      <c r="H900" s="172"/>
      <c r="I900" s="801">
        <f>IF(G893="",0,$F$17)</f>
        <v>0</v>
      </c>
      <c r="J900" s="758"/>
      <c r="K900" s="721" t="s">
        <v>249</v>
      </c>
    </row>
    <row r="901" spans="2:15">
      <c r="C901" s="755" t="s">
        <v>82</v>
      </c>
      <c r="D901" s="1302">
        <v>6</v>
      </c>
      <c r="E901" s="755" t="s">
        <v>83</v>
      </c>
      <c r="F901" s="756"/>
      <c r="H901" s="172"/>
      <c r="I901" s="759">
        <f>$G$70</f>
        <v>0.11486185889303469</v>
      </c>
      <c r="J901" s="760"/>
      <c r="K901" s="172" t="str">
        <f>"          INPUT PROJECTED ARR (WITH &amp; WITHOUT INCENTIVES) FROM EACH PRIOR YEAR"</f>
        <v xml:space="preserve">          INPUT PROJECTED ARR (WITH &amp; WITHOUT INCENTIVES) FROM EACH PRIOR YEAR</v>
      </c>
    </row>
    <row r="902" spans="2:15">
      <c r="C902" s="755" t="s">
        <v>84</v>
      </c>
      <c r="D902" s="761">
        <f>$G$79</f>
        <v>36</v>
      </c>
      <c r="E902" s="755" t="s">
        <v>85</v>
      </c>
      <c r="F902" s="756"/>
      <c r="H902" s="172"/>
      <c r="I902" s="759">
        <f>IF(G893="",I901,$G$69)</f>
        <v>0.11486185889303469</v>
      </c>
      <c r="J902" s="762"/>
      <c r="K902" s="172" t="s">
        <v>162</v>
      </c>
    </row>
    <row r="903" spans="2:15" ht="13.5" thickBot="1">
      <c r="C903" s="755" t="s">
        <v>86</v>
      </c>
      <c r="D903" s="798" t="s">
        <v>814</v>
      </c>
      <c r="E903" s="763" t="s">
        <v>87</v>
      </c>
      <c r="F903" s="764"/>
      <c r="G903" s="765"/>
      <c r="H903" s="765"/>
      <c r="I903" s="743">
        <f>IF(D899=0,0,D899/D902)</f>
        <v>234095.22222222222</v>
      </c>
      <c r="J903" s="721"/>
      <c r="K903" s="721" t="s">
        <v>168</v>
      </c>
      <c r="L903" s="721"/>
      <c r="M903" s="721"/>
      <c r="N903" s="721"/>
      <c r="O903" s="418"/>
    </row>
    <row r="904" spans="2:15" ht="51">
      <c r="B904" s="836"/>
      <c r="C904" s="766" t="s">
        <v>77</v>
      </c>
      <c r="D904" s="767" t="s">
        <v>88</v>
      </c>
      <c r="E904" s="768" t="s">
        <v>89</v>
      </c>
      <c r="F904" s="767" t="s">
        <v>90</v>
      </c>
      <c r="G904" s="768" t="s">
        <v>161</v>
      </c>
      <c r="H904" s="769" t="s">
        <v>161</v>
      </c>
      <c r="I904" s="766" t="s">
        <v>100</v>
      </c>
      <c r="J904" s="770"/>
      <c r="K904" s="768" t="s">
        <v>170</v>
      </c>
      <c r="L904" s="771"/>
      <c r="M904" s="768" t="s">
        <v>170</v>
      </c>
      <c r="N904" s="771"/>
      <c r="O904" s="771"/>
    </row>
    <row r="905" spans="2:15" ht="13.5" thickBot="1">
      <c r="C905" s="772" t="s">
        <v>477</v>
      </c>
      <c r="D905" s="773" t="s">
        <v>478</v>
      </c>
      <c r="E905" s="772" t="s">
        <v>371</v>
      </c>
      <c r="F905" s="773" t="s">
        <v>478</v>
      </c>
      <c r="G905" s="774" t="s">
        <v>103</v>
      </c>
      <c r="H905" s="775" t="s">
        <v>105</v>
      </c>
      <c r="I905" s="776" t="s">
        <v>17</v>
      </c>
      <c r="J905" s="777"/>
      <c r="K905" s="774" t="s">
        <v>92</v>
      </c>
      <c r="L905" s="778"/>
      <c r="M905" s="774" t="s">
        <v>105</v>
      </c>
      <c r="N905" s="778"/>
      <c r="O905" s="778"/>
    </row>
    <row r="906" spans="2:15">
      <c r="C906" s="779">
        <f>IF(D900= "","-",D900)</f>
        <v>2016</v>
      </c>
      <c r="D906" s="727">
        <f>+D899</f>
        <v>8427428</v>
      </c>
      <c r="E906" s="780">
        <f>+I903/12*(12-D901)</f>
        <v>117047.61111111112</v>
      </c>
      <c r="F906" s="727">
        <f>+D906-E906</f>
        <v>8310380.388888889</v>
      </c>
      <c r="G906" s="988">
        <f>+$I$96*((D906+F906)/2)+E906</f>
        <v>1078315.5037827149</v>
      </c>
      <c r="H906" s="989">
        <f>$I$97*((D906+F906)/2)+E906</f>
        <v>1078315.5037827149</v>
      </c>
      <c r="I906" s="783">
        <f>+H906-G906</f>
        <v>0</v>
      </c>
      <c r="J906" s="783"/>
      <c r="K906" s="1303" t="s">
        <v>416</v>
      </c>
      <c r="L906" s="784"/>
      <c r="M906" s="1303">
        <v>3283917</v>
      </c>
      <c r="N906" s="784"/>
      <c r="O906" s="784"/>
    </row>
    <row r="907" spans="2:15">
      <c r="C907" s="1318">
        <f>IF(D900="","-",+C906+1)</f>
        <v>2017</v>
      </c>
      <c r="D907" s="727">
        <f t="shared" ref="D907:D965" si="54">F906</f>
        <v>8310380.388888889</v>
      </c>
      <c r="E907" s="780">
        <f>IF(D907&gt;$I$903,$I$903,D907)</f>
        <v>234095.22222222222</v>
      </c>
      <c r="F907" s="727">
        <f t="shared" ref="F907:F965" si="55">+D907-E907</f>
        <v>8076285.166666667</v>
      </c>
      <c r="G907" s="785">
        <f t="shared" ref="G907:G965" si="56">+$I$96*((D907+F907)/2)+E907</f>
        <v>1175196.6556070093</v>
      </c>
      <c r="H907" s="786">
        <f t="shared" ref="H907:H965" si="57">$I$97*((D907+F907)/2)+E907</f>
        <v>1175196.6556070093</v>
      </c>
      <c r="I907" s="783">
        <f t="shared" ref="I907:I965" si="58">+H907-G907</f>
        <v>0</v>
      </c>
      <c r="J907" s="783"/>
      <c r="K907" s="1304" t="s">
        <v>416</v>
      </c>
      <c r="L907" s="787"/>
      <c r="M907" s="1304">
        <v>3670194</v>
      </c>
      <c r="N907" s="787"/>
      <c r="O907" s="787"/>
    </row>
    <row r="908" spans="2:15">
      <c r="C908" s="1318">
        <f>IF(D900="","-",+C907+1)</f>
        <v>2018</v>
      </c>
      <c r="D908" s="727">
        <f t="shared" si="54"/>
        <v>8076285.166666667</v>
      </c>
      <c r="E908" s="780">
        <f t="shared" ref="E908:E965" si="59">IF(D908&gt;$I$903,$I$903,D908)</f>
        <v>234095.22222222222</v>
      </c>
      <c r="F908" s="727">
        <f t="shared" si="55"/>
        <v>7842189.944444445</v>
      </c>
      <c r="G908" s="785">
        <f t="shared" si="56"/>
        <v>1148308.0432245869</v>
      </c>
      <c r="H908" s="786">
        <f t="shared" si="57"/>
        <v>1148308.0432245869</v>
      </c>
      <c r="I908" s="783">
        <f t="shared" si="58"/>
        <v>0</v>
      </c>
      <c r="J908" s="783"/>
      <c r="K908" s="1304"/>
      <c r="L908" s="787"/>
      <c r="M908" s="1304"/>
      <c r="N908" s="787"/>
      <c r="O908" s="787"/>
    </row>
    <row r="909" spans="2:15">
      <c r="C909" s="1298">
        <f>IF(D900="","-",+C908+1)</f>
        <v>2019</v>
      </c>
      <c r="D909" s="727">
        <f t="shared" si="54"/>
        <v>7842189.944444445</v>
      </c>
      <c r="E909" s="780">
        <f t="shared" si="59"/>
        <v>234095.22222222222</v>
      </c>
      <c r="F909" s="727">
        <f t="shared" si="55"/>
        <v>7608094.7222222229</v>
      </c>
      <c r="G909" s="785">
        <f t="shared" si="56"/>
        <v>1121419.4308421642</v>
      </c>
      <c r="H909" s="786">
        <f t="shared" si="57"/>
        <v>1121419.4308421642</v>
      </c>
      <c r="I909" s="783">
        <f t="shared" si="58"/>
        <v>0</v>
      </c>
      <c r="J909" s="783"/>
      <c r="K909" s="1304"/>
      <c r="L909" s="787"/>
      <c r="M909" s="1304"/>
      <c r="N909" s="787"/>
      <c r="O909" s="787"/>
    </row>
    <row r="910" spans="2:15">
      <c r="C910" s="1299">
        <f>IF(D900="","-",+C909+1)</f>
        <v>2020</v>
      </c>
      <c r="D910" s="727">
        <f t="shared" si="54"/>
        <v>7608094.7222222229</v>
      </c>
      <c r="E910" s="780">
        <f t="shared" si="59"/>
        <v>234095.22222222222</v>
      </c>
      <c r="F910" s="727">
        <f t="shared" si="55"/>
        <v>7373999.5000000009</v>
      </c>
      <c r="G910" s="785">
        <f t="shared" si="56"/>
        <v>1094530.8184597418</v>
      </c>
      <c r="H910" s="786">
        <f t="shared" si="57"/>
        <v>1094530.8184597418</v>
      </c>
      <c r="I910" s="783">
        <f t="shared" si="58"/>
        <v>0</v>
      </c>
      <c r="J910" s="783"/>
      <c r="K910" s="1304"/>
      <c r="L910" s="787"/>
      <c r="M910" s="1304"/>
      <c r="N910" s="787"/>
      <c r="O910" s="787"/>
    </row>
    <row r="911" spans="2:15">
      <c r="C911" s="1299">
        <f>IF(D900="","-",+C910+1)</f>
        <v>2021</v>
      </c>
      <c r="D911" s="727">
        <f t="shared" si="54"/>
        <v>7373999.5000000009</v>
      </c>
      <c r="E911" s="780">
        <f t="shared" si="59"/>
        <v>234095.22222222222</v>
      </c>
      <c r="F911" s="727">
        <f t="shared" si="55"/>
        <v>7139904.2777777789</v>
      </c>
      <c r="G911" s="785">
        <f t="shared" si="56"/>
        <v>1067642.2060773193</v>
      </c>
      <c r="H911" s="786">
        <f t="shared" si="57"/>
        <v>1067642.2060773193</v>
      </c>
      <c r="I911" s="783">
        <f t="shared" si="58"/>
        <v>0</v>
      </c>
      <c r="J911" s="783"/>
      <c r="K911" s="1304"/>
      <c r="L911" s="787"/>
      <c r="M911" s="1304"/>
      <c r="N911" s="787"/>
      <c r="O911" s="787"/>
    </row>
    <row r="912" spans="2:15">
      <c r="C912" s="779">
        <f>IF(D900="","-",+C911+1)</f>
        <v>2022</v>
      </c>
      <c r="D912" s="727">
        <f t="shared" si="54"/>
        <v>7139904.2777777789</v>
      </c>
      <c r="E912" s="780">
        <f t="shared" si="59"/>
        <v>234095.22222222222</v>
      </c>
      <c r="F912" s="727">
        <f t="shared" si="55"/>
        <v>6905809.0555555569</v>
      </c>
      <c r="G912" s="785">
        <f t="shared" si="56"/>
        <v>1040753.593694897</v>
      </c>
      <c r="H912" s="786">
        <f t="shared" si="57"/>
        <v>1040753.593694897</v>
      </c>
      <c r="I912" s="783">
        <f t="shared" si="58"/>
        <v>0</v>
      </c>
      <c r="J912" s="783"/>
      <c r="K912" s="1304"/>
      <c r="L912" s="787"/>
      <c r="M912" s="1304"/>
      <c r="N912" s="787"/>
      <c r="O912" s="787"/>
    </row>
    <row r="913" spans="3:15">
      <c r="C913" s="779">
        <f>IF(D900="","-",+C912+1)</f>
        <v>2023</v>
      </c>
      <c r="D913" s="727">
        <f t="shared" si="54"/>
        <v>6905809.0555555569</v>
      </c>
      <c r="E913" s="780">
        <f t="shared" si="59"/>
        <v>234095.22222222222</v>
      </c>
      <c r="F913" s="727">
        <f t="shared" si="55"/>
        <v>6671713.8333333349</v>
      </c>
      <c r="G913" s="785">
        <f t="shared" si="56"/>
        <v>1013864.9813124745</v>
      </c>
      <c r="H913" s="786">
        <f t="shared" si="57"/>
        <v>1013864.9813124745</v>
      </c>
      <c r="I913" s="783">
        <f t="shared" si="58"/>
        <v>0</v>
      </c>
      <c r="J913" s="783"/>
      <c r="K913" s="1304"/>
      <c r="L913" s="787"/>
      <c r="M913" s="1304"/>
      <c r="N913" s="787"/>
      <c r="O913" s="787"/>
    </row>
    <row r="914" spans="3:15">
      <c r="C914" s="779">
        <f>IF(D900="","-",+C913+1)</f>
        <v>2024</v>
      </c>
      <c r="D914" s="727">
        <f t="shared" si="54"/>
        <v>6671713.8333333349</v>
      </c>
      <c r="E914" s="780">
        <f t="shared" si="59"/>
        <v>234095.22222222222</v>
      </c>
      <c r="F914" s="727">
        <f t="shared" si="55"/>
        <v>6437618.6111111129</v>
      </c>
      <c r="G914" s="785">
        <f t="shared" si="56"/>
        <v>986976.36893005203</v>
      </c>
      <c r="H914" s="786">
        <f t="shared" si="57"/>
        <v>986976.36893005203</v>
      </c>
      <c r="I914" s="783">
        <f t="shared" si="58"/>
        <v>0</v>
      </c>
      <c r="J914" s="783"/>
      <c r="K914" s="1304"/>
      <c r="L914" s="787"/>
      <c r="M914" s="1304"/>
      <c r="N914" s="787"/>
      <c r="O914" s="787"/>
    </row>
    <row r="915" spans="3:15">
      <c r="C915" s="779">
        <f>IF(D900="","-",+C914+1)</f>
        <v>2025</v>
      </c>
      <c r="D915" s="727">
        <f t="shared" si="54"/>
        <v>6437618.6111111129</v>
      </c>
      <c r="E915" s="780">
        <f t="shared" si="59"/>
        <v>234095.22222222222</v>
      </c>
      <c r="F915" s="727">
        <f t="shared" si="55"/>
        <v>6203523.3888888909</v>
      </c>
      <c r="G915" s="785">
        <f t="shared" si="56"/>
        <v>960087.7565476296</v>
      </c>
      <c r="H915" s="786">
        <f t="shared" si="57"/>
        <v>960087.7565476296</v>
      </c>
      <c r="I915" s="783">
        <f t="shared" si="58"/>
        <v>0</v>
      </c>
      <c r="J915" s="783"/>
      <c r="K915" s="1304"/>
      <c r="L915" s="787"/>
      <c r="M915" s="1304"/>
      <c r="N915" s="787"/>
      <c r="O915" s="787"/>
    </row>
    <row r="916" spans="3:15">
      <c r="C916" s="779">
        <f>IF(D900="","-",+C915+1)</f>
        <v>2026</v>
      </c>
      <c r="D916" s="727">
        <f t="shared" si="54"/>
        <v>6203523.3888888909</v>
      </c>
      <c r="E916" s="780">
        <f t="shared" si="59"/>
        <v>234095.22222222222</v>
      </c>
      <c r="F916" s="727">
        <f t="shared" si="55"/>
        <v>5969428.1666666688</v>
      </c>
      <c r="G916" s="785">
        <f t="shared" si="56"/>
        <v>933199.14416520717</v>
      </c>
      <c r="H916" s="786">
        <f t="shared" si="57"/>
        <v>933199.14416520717</v>
      </c>
      <c r="I916" s="783">
        <f t="shared" si="58"/>
        <v>0</v>
      </c>
      <c r="J916" s="783"/>
      <c r="K916" s="1304"/>
      <c r="L916" s="787"/>
      <c r="M916" s="1304"/>
      <c r="N916" s="787"/>
      <c r="O916" s="787"/>
    </row>
    <row r="917" spans="3:15">
      <c r="C917" s="779">
        <f>IF(D900="","-",+C916+1)</f>
        <v>2027</v>
      </c>
      <c r="D917" s="727">
        <f t="shared" si="54"/>
        <v>5969428.1666666688</v>
      </c>
      <c r="E917" s="780">
        <f t="shared" si="59"/>
        <v>234095.22222222222</v>
      </c>
      <c r="F917" s="727">
        <f t="shared" si="55"/>
        <v>5735332.9444444468</v>
      </c>
      <c r="G917" s="785">
        <f t="shared" si="56"/>
        <v>906310.53178278462</v>
      </c>
      <c r="H917" s="786">
        <f t="shared" si="57"/>
        <v>906310.53178278462</v>
      </c>
      <c r="I917" s="783">
        <f t="shared" si="58"/>
        <v>0</v>
      </c>
      <c r="J917" s="783"/>
      <c r="K917" s="1304"/>
      <c r="L917" s="787"/>
      <c r="M917" s="1304"/>
      <c r="N917" s="787"/>
      <c r="O917" s="787"/>
    </row>
    <row r="918" spans="3:15">
      <c r="C918" s="779">
        <f>IF(D900="","-",+C917+1)</f>
        <v>2028</v>
      </c>
      <c r="D918" s="727">
        <f t="shared" si="54"/>
        <v>5735332.9444444468</v>
      </c>
      <c r="E918" s="780">
        <f t="shared" si="59"/>
        <v>234095.22222222222</v>
      </c>
      <c r="F918" s="727">
        <f t="shared" si="55"/>
        <v>5501237.7222222248</v>
      </c>
      <c r="G918" s="785">
        <f t="shared" si="56"/>
        <v>879421.91940036218</v>
      </c>
      <c r="H918" s="786">
        <f t="shared" si="57"/>
        <v>879421.91940036218</v>
      </c>
      <c r="I918" s="783">
        <f t="shared" si="58"/>
        <v>0</v>
      </c>
      <c r="J918" s="783"/>
      <c r="K918" s="1304"/>
      <c r="L918" s="787"/>
      <c r="M918" s="1304"/>
      <c r="N918" s="788"/>
      <c r="O918" s="787"/>
    </row>
    <row r="919" spans="3:15">
      <c r="C919" s="779">
        <f>IF(D900="","-",+C918+1)</f>
        <v>2029</v>
      </c>
      <c r="D919" s="727">
        <f t="shared" si="54"/>
        <v>5501237.7222222248</v>
      </c>
      <c r="E919" s="780">
        <f t="shared" si="59"/>
        <v>234095.22222222222</v>
      </c>
      <c r="F919" s="727">
        <f t="shared" si="55"/>
        <v>5267142.5000000028</v>
      </c>
      <c r="G919" s="785">
        <f t="shared" si="56"/>
        <v>852533.30701793975</v>
      </c>
      <c r="H919" s="786">
        <f t="shared" si="57"/>
        <v>852533.30701793975</v>
      </c>
      <c r="I919" s="783">
        <f t="shared" si="58"/>
        <v>0</v>
      </c>
      <c r="J919" s="783"/>
      <c r="K919" s="1304"/>
      <c r="L919" s="787"/>
      <c r="M919" s="1304"/>
      <c r="N919" s="787"/>
      <c r="O919" s="787"/>
    </row>
    <row r="920" spans="3:15">
      <c r="C920" s="779">
        <f>IF(D900="","-",+C919+1)</f>
        <v>2030</v>
      </c>
      <c r="D920" s="727">
        <f t="shared" si="54"/>
        <v>5267142.5000000028</v>
      </c>
      <c r="E920" s="780">
        <f t="shared" si="59"/>
        <v>234095.22222222222</v>
      </c>
      <c r="F920" s="727">
        <f t="shared" si="55"/>
        <v>5033047.2777777808</v>
      </c>
      <c r="G920" s="785">
        <f t="shared" si="56"/>
        <v>825644.69463551731</v>
      </c>
      <c r="H920" s="786">
        <f t="shared" si="57"/>
        <v>825644.69463551731</v>
      </c>
      <c r="I920" s="783">
        <f t="shared" si="58"/>
        <v>0</v>
      </c>
      <c r="J920" s="783"/>
      <c r="K920" s="1304"/>
      <c r="L920" s="787"/>
      <c r="M920" s="1304"/>
      <c r="N920" s="787"/>
      <c r="O920" s="787"/>
    </row>
    <row r="921" spans="3:15">
      <c r="C921" s="779">
        <f>IF(D900="","-",+C920+1)</f>
        <v>2031</v>
      </c>
      <c r="D921" s="727">
        <f t="shared" si="54"/>
        <v>5033047.2777777808</v>
      </c>
      <c r="E921" s="780">
        <f t="shared" si="59"/>
        <v>234095.22222222222</v>
      </c>
      <c r="F921" s="727">
        <f t="shared" si="55"/>
        <v>4798952.0555555588</v>
      </c>
      <c r="G921" s="785">
        <f t="shared" si="56"/>
        <v>798756.08225309476</v>
      </c>
      <c r="H921" s="786">
        <f t="shared" si="57"/>
        <v>798756.08225309476</v>
      </c>
      <c r="I921" s="783">
        <f t="shared" si="58"/>
        <v>0</v>
      </c>
      <c r="J921" s="783"/>
      <c r="K921" s="1304"/>
      <c r="L921" s="787"/>
      <c r="M921" s="1304"/>
      <c r="N921" s="787"/>
      <c r="O921" s="787"/>
    </row>
    <row r="922" spans="3:15">
      <c r="C922" s="779">
        <f>IF(D900="","-",+C921+1)</f>
        <v>2032</v>
      </c>
      <c r="D922" s="727">
        <f t="shared" si="54"/>
        <v>4798952.0555555588</v>
      </c>
      <c r="E922" s="780">
        <f t="shared" si="59"/>
        <v>234095.22222222222</v>
      </c>
      <c r="F922" s="727">
        <f t="shared" si="55"/>
        <v>4564856.8333333367</v>
      </c>
      <c r="G922" s="785">
        <f t="shared" si="56"/>
        <v>771867.46987067233</v>
      </c>
      <c r="H922" s="786">
        <f t="shared" si="57"/>
        <v>771867.46987067233</v>
      </c>
      <c r="I922" s="783">
        <f t="shared" si="58"/>
        <v>0</v>
      </c>
      <c r="J922" s="783"/>
      <c r="K922" s="1304"/>
      <c r="L922" s="787"/>
      <c r="M922" s="1304"/>
      <c r="N922" s="787"/>
      <c r="O922" s="787"/>
    </row>
    <row r="923" spans="3:15">
      <c r="C923" s="779">
        <f>IF(D900="","-",+C922+1)</f>
        <v>2033</v>
      </c>
      <c r="D923" s="727">
        <f t="shared" si="54"/>
        <v>4564856.8333333367</v>
      </c>
      <c r="E923" s="780">
        <f t="shared" si="59"/>
        <v>234095.22222222222</v>
      </c>
      <c r="F923" s="727">
        <f t="shared" si="55"/>
        <v>4330761.6111111147</v>
      </c>
      <c r="G923" s="785">
        <f t="shared" si="56"/>
        <v>744978.85748824989</v>
      </c>
      <c r="H923" s="786">
        <f t="shared" si="57"/>
        <v>744978.85748824989</v>
      </c>
      <c r="I923" s="783">
        <f t="shared" si="58"/>
        <v>0</v>
      </c>
      <c r="J923" s="783"/>
      <c r="K923" s="1304"/>
      <c r="L923" s="787"/>
      <c r="M923" s="1304"/>
      <c r="N923" s="787"/>
      <c r="O923" s="787"/>
    </row>
    <row r="924" spans="3:15">
      <c r="C924" s="779">
        <f>IF(D900="","-",+C923+1)</f>
        <v>2034</v>
      </c>
      <c r="D924" s="727">
        <f t="shared" si="54"/>
        <v>4330761.6111111147</v>
      </c>
      <c r="E924" s="780">
        <f t="shared" si="59"/>
        <v>234095.22222222222</v>
      </c>
      <c r="F924" s="727">
        <f t="shared" si="55"/>
        <v>4096666.3888888927</v>
      </c>
      <c r="G924" s="785">
        <f t="shared" si="56"/>
        <v>718090.24510582746</v>
      </c>
      <c r="H924" s="786">
        <f t="shared" si="57"/>
        <v>718090.24510582746</v>
      </c>
      <c r="I924" s="783">
        <f t="shared" si="58"/>
        <v>0</v>
      </c>
      <c r="J924" s="783"/>
      <c r="K924" s="1304"/>
      <c r="L924" s="787"/>
      <c r="M924" s="1304"/>
      <c r="N924" s="787"/>
      <c r="O924" s="787"/>
    </row>
    <row r="925" spans="3:15">
      <c r="C925" s="779">
        <f>IF(D900="","-",+C924+1)</f>
        <v>2035</v>
      </c>
      <c r="D925" s="727">
        <f t="shared" si="54"/>
        <v>4096666.3888888927</v>
      </c>
      <c r="E925" s="780">
        <f t="shared" si="59"/>
        <v>234095.22222222222</v>
      </c>
      <c r="F925" s="727">
        <f t="shared" si="55"/>
        <v>3862571.1666666707</v>
      </c>
      <c r="G925" s="785">
        <f t="shared" si="56"/>
        <v>691201.63272340491</v>
      </c>
      <c r="H925" s="786">
        <f t="shared" si="57"/>
        <v>691201.63272340491</v>
      </c>
      <c r="I925" s="783">
        <f t="shared" si="58"/>
        <v>0</v>
      </c>
      <c r="J925" s="783"/>
      <c r="K925" s="1304"/>
      <c r="L925" s="787"/>
      <c r="M925" s="1304"/>
      <c r="N925" s="787"/>
      <c r="O925" s="787"/>
    </row>
    <row r="926" spans="3:15">
      <c r="C926" s="779">
        <f>IF(D900="","-",+C925+1)</f>
        <v>2036</v>
      </c>
      <c r="D926" s="727">
        <f t="shared" si="54"/>
        <v>3862571.1666666707</v>
      </c>
      <c r="E926" s="780">
        <f t="shared" si="59"/>
        <v>234095.22222222222</v>
      </c>
      <c r="F926" s="727">
        <f t="shared" si="55"/>
        <v>3628475.9444444487</v>
      </c>
      <c r="G926" s="785">
        <f t="shared" si="56"/>
        <v>664313.02034098248</v>
      </c>
      <c r="H926" s="786">
        <f t="shared" si="57"/>
        <v>664313.02034098248</v>
      </c>
      <c r="I926" s="783">
        <f t="shared" si="58"/>
        <v>0</v>
      </c>
      <c r="J926" s="783"/>
      <c r="K926" s="1304"/>
      <c r="L926" s="787"/>
      <c r="M926" s="1304"/>
      <c r="N926" s="787"/>
      <c r="O926" s="787"/>
    </row>
    <row r="927" spans="3:15">
      <c r="C927" s="779">
        <f>IF(D900="","-",+C926+1)</f>
        <v>2037</v>
      </c>
      <c r="D927" s="727">
        <f t="shared" si="54"/>
        <v>3628475.9444444487</v>
      </c>
      <c r="E927" s="780">
        <f t="shared" si="59"/>
        <v>234095.22222222222</v>
      </c>
      <c r="F927" s="727">
        <f t="shared" si="55"/>
        <v>3394380.7222222267</v>
      </c>
      <c r="G927" s="785">
        <f t="shared" si="56"/>
        <v>637424.40795856004</v>
      </c>
      <c r="H927" s="786">
        <f t="shared" si="57"/>
        <v>637424.40795856004</v>
      </c>
      <c r="I927" s="783">
        <f t="shared" si="58"/>
        <v>0</v>
      </c>
      <c r="J927" s="783"/>
      <c r="K927" s="1304"/>
      <c r="L927" s="787"/>
      <c r="M927" s="1304"/>
      <c r="N927" s="787"/>
      <c r="O927" s="787"/>
    </row>
    <row r="928" spans="3:15">
      <c r="C928" s="779">
        <f>IF(D900="","-",+C927+1)</f>
        <v>2038</v>
      </c>
      <c r="D928" s="727">
        <f t="shared" si="54"/>
        <v>3394380.7222222267</v>
      </c>
      <c r="E928" s="780">
        <f t="shared" si="59"/>
        <v>234095.22222222222</v>
      </c>
      <c r="F928" s="727">
        <f t="shared" si="55"/>
        <v>3160285.5000000047</v>
      </c>
      <c r="G928" s="785">
        <f t="shared" si="56"/>
        <v>610535.79557613761</v>
      </c>
      <c r="H928" s="786">
        <f t="shared" si="57"/>
        <v>610535.79557613761</v>
      </c>
      <c r="I928" s="783">
        <f t="shared" si="58"/>
        <v>0</v>
      </c>
      <c r="J928" s="783"/>
      <c r="K928" s="1304"/>
      <c r="L928" s="787"/>
      <c r="M928" s="1304"/>
      <c r="N928" s="787"/>
      <c r="O928" s="787"/>
    </row>
    <row r="929" spans="3:15">
      <c r="C929" s="779">
        <f>IF(D900="","-",+C928+1)</f>
        <v>2039</v>
      </c>
      <c r="D929" s="727">
        <f t="shared" si="54"/>
        <v>3160285.5000000047</v>
      </c>
      <c r="E929" s="780">
        <f t="shared" si="59"/>
        <v>234095.22222222222</v>
      </c>
      <c r="F929" s="727">
        <f t="shared" si="55"/>
        <v>2926190.2777777826</v>
      </c>
      <c r="G929" s="785">
        <f t="shared" si="56"/>
        <v>583647.18319371506</v>
      </c>
      <c r="H929" s="786">
        <f t="shared" si="57"/>
        <v>583647.18319371506</v>
      </c>
      <c r="I929" s="783">
        <f t="shared" si="58"/>
        <v>0</v>
      </c>
      <c r="J929" s="783"/>
      <c r="K929" s="1304"/>
      <c r="L929" s="787"/>
      <c r="M929" s="1304"/>
      <c r="N929" s="787"/>
      <c r="O929" s="787"/>
    </row>
    <row r="930" spans="3:15">
      <c r="C930" s="779">
        <f>IF(D900="","-",+C929+1)</f>
        <v>2040</v>
      </c>
      <c r="D930" s="727">
        <f t="shared" si="54"/>
        <v>2926190.2777777826</v>
      </c>
      <c r="E930" s="780">
        <f t="shared" si="59"/>
        <v>234095.22222222222</v>
      </c>
      <c r="F930" s="727">
        <f t="shared" si="55"/>
        <v>2692095.0555555606</v>
      </c>
      <c r="G930" s="785">
        <f t="shared" si="56"/>
        <v>556758.57081129262</v>
      </c>
      <c r="H930" s="786">
        <f t="shared" si="57"/>
        <v>556758.57081129262</v>
      </c>
      <c r="I930" s="783">
        <f t="shared" si="58"/>
        <v>0</v>
      </c>
      <c r="J930" s="783"/>
      <c r="K930" s="1304"/>
      <c r="L930" s="787"/>
      <c r="M930" s="1304"/>
      <c r="N930" s="787"/>
      <c r="O930" s="787"/>
    </row>
    <row r="931" spans="3:15">
      <c r="C931" s="779">
        <f>IF(D900="","-",+C930+1)</f>
        <v>2041</v>
      </c>
      <c r="D931" s="727">
        <f t="shared" si="54"/>
        <v>2692095.0555555606</v>
      </c>
      <c r="E931" s="780">
        <f t="shared" si="59"/>
        <v>234095.22222222222</v>
      </c>
      <c r="F931" s="727">
        <f t="shared" si="55"/>
        <v>2457999.8333333386</v>
      </c>
      <c r="G931" s="785">
        <f t="shared" si="56"/>
        <v>529869.95842887019</v>
      </c>
      <c r="H931" s="786">
        <f t="shared" si="57"/>
        <v>529869.95842887019</v>
      </c>
      <c r="I931" s="783">
        <f t="shared" si="58"/>
        <v>0</v>
      </c>
      <c r="J931" s="783"/>
      <c r="K931" s="1304"/>
      <c r="L931" s="787"/>
      <c r="M931" s="1304"/>
      <c r="N931" s="787"/>
      <c r="O931" s="787"/>
    </row>
    <row r="932" spans="3:15">
      <c r="C932" s="779">
        <f>IF(D900="","-",+C931+1)</f>
        <v>2042</v>
      </c>
      <c r="D932" s="727">
        <f t="shared" si="54"/>
        <v>2457999.8333333386</v>
      </c>
      <c r="E932" s="780">
        <f t="shared" si="59"/>
        <v>234095.22222222222</v>
      </c>
      <c r="F932" s="727">
        <f t="shared" si="55"/>
        <v>2223904.6111111166</v>
      </c>
      <c r="G932" s="785">
        <f t="shared" si="56"/>
        <v>502981.34604644775</v>
      </c>
      <c r="H932" s="786">
        <f t="shared" si="57"/>
        <v>502981.34604644775</v>
      </c>
      <c r="I932" s="783">
        <f t="shared" si="58"/>
        <v>0</v>
      </c>
      <c r="J932" s="783"/>
      <c r="K932" s="1304"/>
      <c r="L932" s="787"/>
      <c r="M932" s="1304"/>
      <c r="N932" s="787"/>
      <c r="O932" s="787"/>
    </row>
    <row r="933" spans="3:15">
      <c r="C933" s="779">
        <f>IF(D900="","-",+C932+1)</f>
        <v>2043</v>
      </c>
      <c r="D933" s="727">
        <f t="shared" si="54"/>
        <v>2223904.6111111166</v>
      </c>
      <c r="E933" s="780">
        <f t="shared" si="59"/>
        <v>234095.22222222222</v>
      </c>
      <c r="F933" s="727">
        <f t="shared" si="55"/>
        <v>1989809.3888888943</v>
      </c>
      <c r="G933" s="785">
        <f t="shared" si="56"/>
        <v>476092.7336640252</v>
      </c>
      <c r="H933" s="786">
        <f t="shared" si="57"/>
        <v>476092.7336640252</v>
      </c>
      <c r="I933" s="783">
        <f t="shared" si="58"/>
        <v>0</v>
      </c>
      <c r="J933" s="783"/>
      <c r="K933" s="1304"/>
      <c r="L933" s="787"/>
      <c r="M933" s="1304"/>
      <c r="N933" s="787"/>
      <c r="O933" s="787"/>
    </row>
    <row r="934" spans="3:15">
      <c r="C934" s="779">
        <f>IF(D900="","-",+C933+1)</f>
        <v>2044</v>
      </c>
      <c r="D934" s="727">
        <f t="shared" si="54"/>
        <v>1989809.3888888943</v>
      </c>
      <c r="E934" s="780">
        <f t="shared" si="59"/>
        <v>234095.22222222222</v>
      </c>
      <c r="F934" s="727">
        <f t="shared" si="55"/>
        <v>1755714.1666666721</v>
      </c>
      <c r="G934" s="781">
        <f t="shared" si="56"/>
        <v>449204.12128160271</v>
      </c>
      <c r="H934" s="786">
        <f t="shared" si="57"/>
        <v>449204.12128160271</v>
      </c>
      <c r="I934" s="783">
        <f t="shared" si="58"/>
        <v>0</v>
      </c>
      <c r="J934" s="783"/>
      <c r="K934" s="1304"/>
      <c r="L934" s="787"/>
      <c r="M934" s="1304"/>
      <c r="N934" s="787"/>
      <c r="O934" s="787"/>
    </row>
    <row r="935" spans="3:15">
      <c r="C935" s="779">
        <f>IF(D900="","-",+C934+1)</f>
        <v>2045</v>
      </c>
      <c r="D935" s="727">
        <f t="shared" si="54"/>
        <v>1755714.1666666721</v>
      </c>
      <c r="E935" s="780">
        <f t="shared" si="59"/>
        <v>234095.22222222222</v>
      </c>
      <c r="F935" s="727">
        <f t="shared" si="55"/>
        <v>1521618.9444444499</v>
      </c>
      <c r="G935" s="785">
        <f t="shared" si="56"/>
        <v>422315.50889918022</v>
      </c>
      <c r="H935" s="786">
        <f t="shared" si="57"/>
        <v>422315.50889918022</v>
      </c>
      <c r="I935" s="783">
        <f t="shared" si="58"/>
        <v>0</v>
      </c>
      <c r="J935" s="783"/>
      <c r="K935" s="1304"/>
      <c r="L935" s="787"/>
      <c r="M935" s="1304"/>
      <c r="N935" s="787"/>
      <c r="O935" s="787"/>
    </row>
    <row r="936" spans="3:15">
      <c r="C936" s="779">
        <f>IF(D900="","-",+C935+1)</f>
        <v>2046</v>
      </c>
      <c r="D936" s="727">
        <f t="shared" si="54"/>
        <v>1521618.9444444499</v>
      </c>
      <c r="E936" s="780">
        <f t="shared" si="59"/>
        <v>234095.22222222222</v>
      </c>
      <c r="F936" s="727">
        <f t="shared" si="55"/>
        <v>1287523.7222222276</v>
      </c>
      <c r="G936" s="785">
        <f t="shared" si="56"/>
        <v>395426.89651675778</v>
      </c>
      <c r="H936" s="786">
        <f t="shared" si="57"/>
        <v>395426.89651675778</v>
      </c>
      <c r="I936" s="783">
        <f t="shared" si="58"/>
        <v>0</v>
      </c>
      <c r="J936" s="783"/>
      <c r="K936" s="1304"/>
      <c r="L936" s="787"/>
      <c r="M936" s="1304"/>
      <c r="N936" s="787"/>
      <c r="O936" s="787"/>
    </row>
    <row r="937" spans="3:15">
      <c r="C937" s="779">
        <f>IF(D900="","-",+C936+1)</f>
        <v>2047</v>
      </c>
      <c r="D937" s="727">
        <f t="shared" si="54"/>
        <v>1287523.7222222276</v>
      </c>
      <c r="E937" s="780">
        <f t="shared" si="59"/>
        <v>234095.22222222222</v>
      </c>
      <c r="F937" s="727">
        <f t="shared" si="55"/>
        <v>1053428.5000000054</v>
      </c>
      <c r="G937" s="785">
        <f t="shared" si="56"/>
        <v>368538.28413433529</v>
      </c>
      <c r="H937" s="786">
        <f t="shared" si="57"/>
        <v>368538.28413433529</v>
      </c>
      <c r="I937" s="783">
        <f t="shared" si="58"/>
        <v>0</v>
      </c>
      <c r="J937" s="783"/>
      <c r="K937" s="1304"/>
      <c r="L937" s="787"/>
      <c r="M937" s="1304"/>
      <c r="N937" s="787"/>
      <c r="O937" s="787"/>
    </row>
    <row r="938" spans="3:15">
      <c r="C938" s="779">
        <f>IF(D900="","-",+C937+1)</f>
        <v>2048</v>
      </c>
      <c r="D938" s="727">
        <f t="shared" si="54"/>
        <v>1053428.5000000054</v>
      </c>
      <c r="E938" s="780">
        <f t="shared" si="59"/>
        <v>234095.22222222222</v>
      </c>
      <c r="F938" s="727">
        <f t="shared" si="55"/>
        <v>819333.27777778311</v>
      </c>
      <c r="G938" s="785">
        <f t="shared" si="56"/>
        <v>341649.6717519128</v>
      </c>
      <c r="H938" s="786">
        <f t="shared" si="57"/>
        <v>341649.6717519128</v>
      </c>
      <c r="I938" s="783">
        <f t="shared" si="58"/>
        <v>0</v>
      </c>
      <c r="J938" s="783"/>
      <c r="K938" s="1304"/>
      <c r="L938" s="787"/>
      <c r="M938" s="1304"/>
      <c r="N938" s="787"/>
      <c r="O938" s="787"/>
    </row>
    <row r="939" spans="3:15">
      <c r="C939" s="779">
        <f>IF(D900="","-",+C938+1)</f>
        <v>2049</v>
      </c>
      <c r="D939" s="727">
        <f t="shared" si="54"/>
        <v>819333.27777778311</v>
      </c>
      <c r="E939" s="780">
        <f t="shared" si="59"/>
        <v>234095.22222222222</v>
      </c>
      <c r="F939" s="727">
        <f t="shared" si="55"/>
        <v>585238.05555556086</v>
      </c>
      <c r="G939" s="785">
        <f t="shared" si="56"/>
        <v>314761.05936949031</v>
      </c>
      <c r="H939" s="786">
        <f t="shared" si="57"/>
        <v>314761.05936949031</v>
      </c>
      <c r="I939" s="783">
        <f t="shared" si="58"/>
        <v>0</v>
      </c>
      <c r="J939" s="783"/>
      <c r="K939" s="1304"/>
      <c r="L939" s="787"/>
      <c r="M939" s="1304"/>
      <c r="N939" s="787"/>
      <c r="O939" s="787"/>
    </row>
    <row r="940" spans="3:15">
      <c r="C940" s="779">
        <f>IF(D900="","-",+C939+1)</f>
        <v>2050</v>
      </c>
      <c r="D940" s="727">
        <f t="shared" si="54"/>
        <v>585238.05555556086</v>
      </c>
      <c r="E940" s="780">
        <f t="shared" si="59"/>
        <v>234095.22222222222</v>
      </c>
      <c r="F940" s="727">
        <f t="shared" si="55"/>
        <v>351142.83333333861</v>
      </c>
      <c r="G940" s="785">
        <f t="shared" si="56"/>
        <v>287872.44698706781</v>
      </c>
      <c r="H940" s="786">
        <f t="shared" si="57"/>
        <v>287872.44698706781</v>
      </c>
      <c r="I940" s="783">
        <f t="shared" si="58"/>
        <v>0</v>
      </c>
      <c r="J940" s="783"/>
      <c r="K940" s="1304"/>
      <c r="L940" s="787"/>
      <c r="M940" s="1304"/>
      <c r="N940" s="787"/>
      <c r="O940" s="787"/>
    </row>
    <row r="941" spans="3:15">
      <c r="C941" s="779">
        <f>IF(D900="","-",+C940+1)</f>
        <v>2051</v>
      </c>
      <c r="D941" s="727">
        <f t="shared" si="54"/>
        <v>351142.83333333861</v>
      </c>
      <c r="E941" s="780">
        <f t="shared" si="59"/>
        <v>234095.22222222222</v>
      </c>
      <c r="F941" s="727">
        <f t="shared" si="55"/>
        <v>117047.61111111639</v>
      </c>
      <c r="G941" s="785">
        <f t="shared" si="56"/>
        <v>260983.83460464532</v>
      </c>
      <c r="H941" s="786">
        <f t="shared" si="57"/>
        <v>260983.83460464532</v>
      </c>
      <c r="I941" s="783">
        <f t="shared" si="58"/>
        <v>0</v>
      </c>
      <c r="J941" s="783"/>
      <c r="K941" s="1304"/>
      <c r="L941" s="787"/>
      <c r="M941" s="1304"/>
      <c r="N941" s="787"/>
      <c r="O941" s="787"/>
    </row>
    <row r="942" spans="3:15">
      <c r="C942" s="779">
        <f>IF(D900="","-",+C941+1)</f>
        <v>2052</v>
      </c>
      <c r="D942" s="727">
        <f t="shared" si="54"/>
        <v>117047.61111111639</v>
      </c>
      <c r="E942" s="780">
        <f t="shared" si="59"/>
        <v>117047.61111111639</v>
      </c>
      <c r="F942" s="727">
        <f t="shared" si="55"/>
        <v>0</v>
      </c>
      <c r="G942" s="785">
        <f t="shared" si="56"/>
        <v>123769.76420672232</v>
      </c>
      <c r="H942" s="786">
        <f t="shared" si="57"/>
        <v>123769.76420672232</v>
      </c>
      <c r="I942" s="783">
        <f t="shared" si="58"/>
        <v>0</v>
      </c>
      <c r="J942" s="783"/>
      <c r="K942" s="1304"/>
      <c r="L942" s="787"/>
      <c r="M942" s="1304"/>
      <c r="N942" s="787"/>
      <c r="O942" s="787"/>
    </row>
    <row r="943" spans="3:15">
      <c r="C943" s="779">
        <f>IF(D900="","-",+C942+1)</f>
        <v>2053</v>
      </c>
      <c r="D943" s="727">
        <f t="shared" si="54"/>
        <v>0</v>
      </c>
      <c r="E943" s="780">
        <f t="shared" si="59"/>
        <v>0</v>
      </c>
      <c r="F943" s="727">
        <f t="shared" si="55"/>
        <v>0</v>
      </c>
      <c r="G943" s="785">
        <f t="shared" si="56"/>
        <v>0</v>
      </c>
      <c r="H943" s="786">
        <f t="shared" si="57"/>
        <v>0</v>
      </c>
      <c r="I943" s="783">
        <f t="shared" si="58"/>
        <v>0</v>
      </c>
      <c r="J943" s="783"/>
      <c r="K943" s="1304"/>
      <c r="L943" s="787"/>
      <c r="M943" s="1304"/>
      <c r="N943" s="787"/>
      <c r="O943" s="787"/>
    </row>
    <row r="944" spans="3:15">
      <c r="C944" s="779">
        <f>IF(D900="","-",+C943+1)</f>
        <v>2054</v>
      </c>
      <c r="D944" s="727">
        <f t="shared" si="54"/>
        <v>0</v>
      </c>
      <c r="E944" s="780">
        <f t="shared" si="59"/>
        <v>0</v>
      </c>
      <c r="F944" s="727">
        <f t="shared" si="55"/>
        <v>0</v>
      </c>
      <c r="G944" s="785">
        <f t="shared" si="56"/>
        <v>0</v>
      </c>
      <c r="H944" s="786">
        <f t="shared" si="57"/>
        <v>0</v>
      </c>
      <c r="I944" s="783">
        <f t="shared" si="58"/>
        <v>0</v>
      </c>
      <c r="J944" s="783"/>
      <c r="K944" s="1304"/>
      <c r="L944" s="787"/>
      <c r="M944" s="1304"/>
      <c r="N944" s="787"/>
      <c r="O944" s="787"/>
    </row>
    <row r="945" spans="3:15">
      <c r="C945" s="779">
        <f>IF(D900="","-",+C944+1)</f>
        <v>2055</v>
      </c>
      <c r="D945" s="727">
        <f t="shared" si="54"/>
        <v>0</v>
      </c>
      <c r="E945" s="780">
        <f t="shared" si="59"/>
        <v>0</v>
      </c>
      <c r="F945" s="727">
        <f t="shared" si="55"/>
        <v>0</v>
      </c>
      <c r="G945" s="785">
        <f t="shared" si="56"/>
        <v>0</v>
      </c>
      <c r="H945" s="786">
        <f t="shared" si="57"/>
        <v>0</v>
      </c>
      <c r="I945" s="783">
        <f t="shared" si="58"/>
        <v>0</v>
      </c>
      <c r="J945" s="783"/>
      <c r="K945" s="1304"/>
      <c r="L945" s="787"/>
      <c r="M945" s="1304"/>
      <c r="N945" s="787"/>
      <c r="O945" s="787"/>
    </row>
    <row r="946" spans="3:15">
      <c r="C946" s="779">
        <f>IF(D900="","-",+C945+1)</f>
        <v>2056</v>
      </c>
      <c r="D946" s="727">
        <f t="shared" si="54"/>
        <v>0</v>
      </c>
      <c r="E946" s="780">
        <f t="shared" si="59"/>
        <v>0</v>
      </c>
      <c r="F946" s="727">
        <f t="shared" si="55"/>
        <v>0</v>
      </c>
      <c r="G946" s="785">
        <f t="shared" si="56"/>
        <v>0</v>
      </c>
      <c r="H946" s="786">
        <f t="shared" si="57"/>
        <v>0</v>
      </c>
      <c r="I946" s="783">
        <f t="shared" si="58"/>
        <v>0</v>
      </c>
      <c r="J946" s="783"/>
      <c r="K946" s="1304"/>
      <c r="L946" s="787"/>
      <c r="M946" s="1304"/>
      <c r="N946" s="787"/>
      <c r="O946" s="787"/>
    </row>
    <row r="947" spans="3:15">
      <c r="C947" s="779">
        <f>IF(D900="","-",+C946+1)</f>
        <v>2057</v>
      </c>
      <c r="D947" s="727">
        <f t="shared" si="54"/>
        <v>0</v>
      </c>
      <c r="E947" s="780">
        <f t="shared" si="59"/>
        <v>0</v>
      </c>
      <c r="F947" s="727">
        <f t="shared" si="55"/>
        <v>0</v>
      </c>
      <c r="G947" s="785">
        <f t="shared" si="56"/>
        <v>0</v>
      </c>
      <c r="H947" s="786">
        <f t="shared" si="57"/>
        <v>0</v>
      </c>
      <c r="I947" s="783">
        <f t="shared" si="58"/>
        <v>0</v>
      </c>
      <c r="J947" s="783"/>
      <c r="K947" s="1304"/>
      <c r="L947" s="787"/>
      <c r="M947" s="1304"/>
      <c r="N947" s="787"/>
      <c r="O947" s="787"/>
    </row>
    <row r="948" spans="3:15">
      <c r="C948" s="779">
        <f>IF(D900="","-",+C947+1)</f>
        <v>2058</v>
      </c>
      <c r="D948" s="727">
        <f t="shared" si="54"/>
        <v>0</v>
      </c>
      <c r="E948" s="780">
        <f t="shared" si="59"/>
        <v>0</v>
      </c>
      <c r="F948" s="727">
        <f t="shared" si="55"/>
        <v>0</v>
      </c>
      <c r="G948" s="785">
        <f t="shared" si="56"/>
        <v>0</v>
      </c>
      <c r="H948" s="786">
        <f t="shared" si="57"/>
        <v>0</v>
      </c>
      <c r="I948" s="783">
        <f t="shared" si="58"/>
        <v>0</v>
      </c>
      <c r="J948" s="783"/>
      <c r="K948" s="1304"/>
      <c r="L948" s="787"/>
      <c r="M948" s="1304"/>
      <c r="N948" s="787"/>
      <c r="O948" s="787"/>
    </row>
    <row r="949" spans="3:15">
      <c r="C949" s="779">
        <f>IF(D900="","-",+C948+1)</f>
        <v>2059</v>
      </c>
      <c r="D949" s="727">
        <f t="shared" si="54"/>
        <v>0</v>
      </c>
      <c r="E949" s="780">
        <f t="shared" si="59"/>
        <v>0</v>
      </c>
      <c r="F949" s="727">
        <f t="shared" si="55"/>
        <v>0</v>
      </c>
      <c r="G949" s="785">
        <f t="shared" si="56"/>
        <v>0</v>
      </c>
      <c r="H949" s="786">
        <f t="shared" si="57"/>
        <v>0</v>
      </c>
      <c r="I949" s="783">
        <f t="shared" si="58"/>
        <v>0</v>
      </c>
      <c r="J949" s="783"/>
      <c r="K949" s="1304"/>
      <c r="L949" s="787"/>
      <c r="M949" s="1304"/>
      <c r="N949" s="787"/>
      <c r="O949" s="787"/>
    </row>
    <row r="950" spans="3:15">
      <c r="C950" s="779">
        <f>IF(D900="","-",+C949+1)</f>
        <v>2060</v>
      </c>
      <c r="D950" s="727">
        <f t="shared" si="54"/>
        <v>0</v>
      </c>
      <c r="E950" s="780">
        <f t="shared" si="59"/>
        <v>0</v>
      </c>
      <c r="F950" s="727">
        <f t="shared" si="55"/>
        <v>0</v>
      </c>
      <c r="G950" s="785">
        <f t="shared" si="56"/>
        <v>0</v>
      </c>
      <c r="H950" s="786">
        <f t="shared" si="57"/>
        <v>0</v>
      </c>
      <c r="I950" s="783">
        <f t="shared" si="58"/>
        <v>0</v>
      </c>
      <c r="J950" s="783"/>
      <c r="K950" s="1304"/>
      <c r="L950" s="787"/>
      <c r="M950" s="1304"/>
      <c r="N950" s="787"/>
      <c r="O950" s="787"/>
    </row>
    <row r="951" spans="3:15">
      <c r="C951" s="779">
        <f>IF(D900="","-",+C950+1)</f>
        <v>2061</v>
      </c>
      <c r="D951" s="727">
        <f t="shared" si="54"/>
        <v>0</v>
      </c>
      <c r="E951" s="780">
        <f t="shared" si="59"/>
        <v>0</v>
      </c>
      <c r="F951" s="727">
        <f t="shared" si="55"/>
        <v>0</v>
      </c>
      <c r="G951" s="785">
        <f t="shared" si="56"/>
        <v>0</v>
      </c>
      <c r="H951" s="786">
        <f t="shared" si="57"/>
        <v>0</v>
      </c>
      <c r="I951" s="783">
        <f t="shared" si="58"/>
        <v>0</v>
      </c>
      <c r="J951" s="783"/>
      <c r="K951" s="1304"/>
      <c r="L951" s="787"/>
      <c r="M951" s="1304"/>
      <c r="N951" s="787"/>
      <c r="O951" s="787"/>
    </row>
    <row r="952" spans="3:15">
      <c r="C952" s="779">
        <f>IF(D900="","-",+C951+1)</f>
        <v>2062</v>
      </c>
      <c r="D952" s="727">
        <f t="shared" si="54"/>
        <v>0</v>
      </c>
      <c r="E952" s="780">
        <f t="shared" si="59"/>
        <v>0</v>
      </c>
      <c r="F952" s="727">
        <f t="shared" si="55"/>
        <v>0</v>
      </c>
      <c r="G952" s="785">
        <f t="shared" si="56"/>
        <v>0</v>
      </c>
      <c r="H952" s="786">
        <f t="shared" si="57"/>
        <v>0</v>
      </c>
      <c r="I952" s="783">
        <f t="shared" si="58"/>
        <v>0</v>
      </c>
      <c r="J952" s="783"/>
      <c r="K952" s="1304"/>
      <c r="L952" s="787"/>
      <c r="M952" s="1304"/>
      <c r="N952" s="787"/>
      <c r="O952" s="787"/>
    </row>
    <row r="953" spans="3:15">
      <c r="C953" s="779">
        <f>IF(D900="","-",+C952+1)</f>
        <v>2063</v>
      </c>
      <c r="D953" s="727">
        <f t="shared" si="54"/>
        <v>0</v>
      </c>
      <c r="E953" s="780">
        <f t="shared" si="59"/>
        <v>0</v>
      </c>
      <c r="F953" s="727">
        <f t="shared" si="55"/>
        <v>0</v>
      </c>
      <c r="G953" s="785">
        <f t="shared" si="56"/>
        <v>0</v>
      </c>
      <c r="H953" s="786">
        <f t="shared" si="57"/>
        <v>0</v>
      </c>
      <c r="I953" s="783">
        <f t="shared" si="58"/>
        <v>0</v>
      </c>
      <c r="J953" s="783"/>
      <c r="K953" s="1304"/>
      <c r="L953" s="787"/>
      <c r="M953" s="1304"/>
      <c r="N953" s="787"/>
      <c r="O953" s="787"/>
    </row>
    <row r="954" spans="3:15">
      <c r="C954" s="779">
        <f>IF(D900="","-",+C953+1)</f>
        <v>2064</v>
      </c>
      <c r="D954" s="727">
        <f t="shared" si="54"/>
        <v>0</v>
      </c>
      <c r="E954" s="780">
        <f t="shared" si="59"/>
        <v>0</v>
      </c>
      <c r="F954" s="727">
        <f t="shared" si="55"/>
        <v>0</v>
      </c>
      <c r="G954" s="785">
        <f t="shared" si="56"/>
        <v>0</v>
      </c>
      <c r="H954" s="786">
        <f t="shared" si="57"/>
        <v>0</v>
      </c>
      <c r="I954" s="783">
        <f t="shared" si="58"/>
        <v>0</v>
      </c>
      <c r="J954" s="783"/>
      <c r="K954" s="1304"/>
      <c r="L954" s="787"/>
      <c r="M954" s="1304"/>
      <c r="N954" s="787"/>
      <c r="O954" s="787"/>
    </row>
    <row r="955" spans="3:15">
      <c r="C955" s="779">
        <f>IF(D900="","-",+C954+1)</f>
        <v>2065</v>
      </c>
      <c r="D955" s="727">
        <f t="shared" si="54"/>
        <v>0</v>
      </c>
      <c r="E955" s="780">
        <f t="shared" si="59"/>
        <v>0</v>
      </c>
      <c r="F955" s="727">
        <f t="shared" si="55"/>
        <v>0</v>
      </c>
      <c r="G955" s="785">
        <f t="shared" si="56"/>
        <v>0</v>
      </c>
      <c r="H955" s="786">
        <f t="shared" si="57"/>
        <v>0</v>
      </c>
      <c r="I955" s="783">
        <f t="shared" si="58"/>
        <v>0</v>
      </c>
      <c r="J955" s="783"/>
      <c r="K955" s="1304"/>
      <c r="L955" s="787"/>
      <c r="M955" s="1304"/>
      <c r="N955" s="787"/>
      <c r="O955" s="787"/>
    </row>
    <row r="956" spans="3:15">
      <c r="C956" s="779">
        <f>IF(D900="","-",+C955+1)</f>
        <v>2066</v>
      </c>
      <c r="D956" s="727">
        <f t="shared" si="54"/>
        <v>0</v>
      </c>
      <c r="E956" s="780">
        <f t="shared" si="59"/>
        <v>0</v>
      </c>
      <c r="F956" s="727">
        <f t="shared" si="55"/>
        <v>0</v>
      </c>
      <c r="G956" s="785">
        <f t="shared" si="56"/>
        <v>0</v>
      </c>
      <c r="H956" s="786">
        <f t="shared" si="57"/>
        <v>0</v>
      </c>
      <c r="I956" s="783">
        <f t="shared" si="58"/>
        <v>0</v>
      </c>
      <c r="J956" s="783"/>
      <c r="K956" s="1304"/>
      <c r="L956" s="787"/>
      <c r="M956" s="1304"/>
      <c r="N956" s="787"/>
      <c r="O956" s="787"/>
    </row>
    <row r="957" spans="3:15">
      <c r="C957" s="779">
        <f>IF(D900="","-",+C956+1)</f>
        <v>2067</v>
      </c>
      <c r="D957" s="727">
        <f t="shared" si="54"/>
        <v>0</v>
      </c>
      <c r="E957" s="780">
        <f t="shared" si="59"/>
        <v>0</v>
      </c>
      <c r="F957" s="727">
        <f t="shared" si="55"/>
        <v>0</v>
      </c>
      <c r="G957" s="785">
        <f t="shared" si="56"/>
        <v>0</v>
      </c>
      <c r="H957" s="786">
        <f t="shared" si="57"/>
        <v>0</v>
      </c>
      <c r="I957" s="783">
        <f t="shared" si="58"/>
        <v>0</v>
      </c>
      <c r="J957" s="783"/>
      <c r="K957" s="1304"/>
      <c r="L957" s="787"/>
      <c r="M957" s="1304"/>
      <c r="N957" s="787"/>
      <c r="O957" s="787"/>
    </row>
    <row r="958" spans="3:15">
      <c r="C958" s="779">
        <f>IF(D900="","-",+C957+1)</f>
        <v>2068</v>
      </c>
      <c r="D958" s="727">
        <f t="shared" si="54"/>
        <v>0</v>
      </c>
      <c r="E958" s="780">
        <f t="shared" si="59"/>
        <v>0</v>
      </c>
      <c r="F958" s="727">
        <f t="shared" si="55"/>
        <v>0</v>
      </c>
      <c r="G958" s="785">
        <f t="shared" si="56"/>
        <v>0</v>
      </c>
      <c r="H958" s="786">
        <f t="shared" si="57"/>
        <v>0</v>
      </c>
      <c r="I958" s="783">
        <f t="shared" si="58"/>
        <v>0</v>
      </c>
      <c r="J958" s="783"/>
      <c r="K958" s="1304"/>
      <c r="L958" s="787"/>
      <c r="M958" s="1304"/>
      <c r="N958" s="787"/>
      <c r="O958" s="787"/>
    </row>
    <row r="959" spans="3:15">
      <c r="C959" s="779">
        <f>IF(D900="","-",+C958+1)</f>
        <v>2069</v>
      </c>
      <c r="D959" s="727">
        <f t="shared" si="54"/>
        <v>0</v>
      </c>
      <c r="E959" s="780">
        <f t="shared" si="59"/>
        <v>0</v>
      </c>
      <c r="F959" s="727">
        <f t="shared" si="55"/>
        <v>0</v>
      </c>
      <c r="G959" s="785">
        <f t="shared" si="56"/>
        <v>0</v>
      </c>
      <c r="H959" s="786">
        <f t="shared" si="57"/>
        <v>0</v>
      </c>
      <c r="I959" s="783">
        <f t="shared" si="58"/>
        <v>0</v>
      </c>
      <c r="J959" s="783"/>
      <c r="K959" s="1304"/>
      <c r="L959" s="787"/>
      <c r="M959" s="1304"/>
      <c r="N959" s="787"/>
      <c r="O959" s="787"/>
    </row>
    <row r="960" spans="3:15">
      <c r="C960" s="779">
        <f>IF(D900="","-",+C959+1)</f>
        <v>2070</v>
      </c>
      <c r="D960" s="727">
        <f t="shared" si="54"/>
        <v>0</v>
      </c>
      <c r="E960" s="780">
        <f t="shared" si="59"/>
        <v>0</v>
      </c>
      <c r="F960" s="727">
        <f t="shared" si="55"/>
        <v>0</v>
      </c>
      <c r="G960" s="785">
        <f t="shared" si="56"/>
        <v>0</v>
      </c>
      <c r="H960" s="786">
        <f t="shared" si="57"/>
        <v>0</v>
      </c>
      <c r="I960" s="783">
        <f t="shared" si="58"/>
        <v>0</v>
      </c>
      <c r="J960" s="783"/>
      <c r="K960" s="1304"/>
      <c r="L960" s="787"/>
      <c r="M960" s="1304"/>
      <c r="N960" s="787"/>
      <c r="O960" s="787"/>
    </row>
    <row r="961" spans="3:15">
      <c r="C961" s="779">
        <f>IF(D900="","-",+C960+1)</f>
        <v>2071</v>
      </c>
      <c r="D961" s="727">
        <f t="shared" si="54"/>
        <v>0</v>
      </c>
      <c r="E961" s="780">
        <f t="shared" si="59"/>
        <v>0</v>
      </c>
      <c r="F961" s="727">
        <f t="shared" si="55"/>
        <v>0</v>
      </c>
      <c r="G961" s="785">
        <f t="shared" si="56"/>
        <v>0</v>
      </c>
      <c r="H961" s="786">
        <f t="shared" si="57"/>
        <v>0</v>
      </c>
      <c r="I961" s="783">
        <f t="shared" si="58"/>
        <v>0</v>
      </c>
      <c r="J961" s="783"/>
      <c r="K961" s="1304"/>
      <c r="L961" s="787"/>
      <c r="M961" s="1304"/>
      <c r="N961" s="787"/>
      <c r="O961" s="787"/>
    </row>
    <row r="962" spans="3:15">
      <c r="C962" s="779">
        <f>IF(D900="","-",+C961+1)</f>
        <v>2072</v>
      </c>
      <c r="D962" s="727">
        <f t="shared" si="54"/>
        <v>0</v>
      </c>
      <c r="E962" s="780">
        <f t="shared" si="59"/>
        <v>0</v>
      </c>
      <c r="F962" s="727">
        <f t="shared" si="55"/>
        <v>0</v>
      </c>
      <c r="G962" s="785">
        <f t="shared" si="56"/>
        <v>0</v>
      </c>
      <c r="H962" s="786">
        <f t="shared" si="57"/>
        <v>0</v>
      </c>
      <c r="I962" s="783">
        <f t="shared" si="58"/>
        <v>0</v>
      </c>
      <c r="J962" s="783"/>
      <c r="K962" s="1304"/>
      <c r="L962" s="787"/>
      <c r="M962" s="1304"/>
      <c r="N962" s="787"/>
      <c r="O962" s="787"/>
    </row>
    <row r="963" spans="3:15">
      <c r="C963" s="779">
        <f>IF(D900="","-",+C962+1)</f>
        <v>2073</v>
      </c>
      <c r="D963" s="727">
        <f t="shared" si="54"/>
        <v>0</v>
      </c>
      <c r="E963" s="780">
        <f t="shared" si="59"/>
        <v>0</v>
      </c>
      <c r="F963" s="727">
        <f t="shared" si="55"/>
        <v>0</v>
      </c>
      <c r="G963" s="785">
        <f t="shared" si="56"/>
        <v>0</v>
      </c>
      <c r="H963" s="786">
        <f t="shared" si="57"/>
        <v>0</v>
      </c>
      <c r="I963" s="783">
        <f t="shared" si="58"/>
        <v>0</v>
      </c>
      <c r="J963" s="783"/>
      <c r="K963" s="1304"/>
      <c r="L963" s="787"/>
      <c r="M963" s="1304"/>
      <c r="N963" s="787"/>
      <c r="O963" s="787"/>
    </row>
    <row r="964" spans="3:15">
      <c r="C964" s="779">
        <f>IF(D900="","-",+C963+1)</f>
        <v>2074</v>
      </c>
      <c r="D964" s="727">
        <f t="shared" si="54"/>
        <v>0</v>
      </c>
      <c r="E964" s="780">
        <f t="shared" si="59"/>
        <v>0</v>
      </c>
      <c r="F964" s="727">
        <f t="shared" si="55"/>
        <v>0</v>
      </c>
      <c r="G964" s="785">
        <f t="shared" si="56"/>
        <v>0</v>
      </c>
      <c r="H964" s="786">
        <f t="shared" si="57"/>
        <v>0</v>
      </c>
      <c r="I964" s="783">
        <f t="shared" si="58"/>
        <v>0</v>
      </c>
      <c r="J964" s="783"/>
      <c r="K964" s="1304"/>
      <c r="L964" s="787"/>
      <c r="M964" s="1304"/>
      <c r="N964" s="787"/>
      <c r="O964" s="787"/>
    </row>
    <row r="965" spans="3:15" ht="13.5" thickBot="1">
      <c r="C965" s="789">
        <f>IF(D900="","-",+C964+1)</f>
        <v>2075</v>
      </c>
      <c r="D965" s="790">
        <f t="shared" si="54"/>
        <v>0</v>
      </c>
      <c r="E965" s="791">
        <f t="shared" si="59"/>
        <v>0</v>
      </c>
      <c r="F965" s="790">
        <f t="shared" si="55"/>
        <v>0</v>
      </c>
      <c r="G965" s="792">
        <f t="shared" si="56"/>
        <v>0</v>
      </c>
      <c r="H965" s="792">
        <f t="shared" si="57"/>
        <v>0</v>
      </c>
      <c r="I965" s="793">
        <f t="shared" si="58"/>
        <v>0</v>
      </c>
      <c r="J965" s="783"/>
      <c r="K965" s="1305"/>
      <c r="L965" s="794"/>
      <c r="M965" s="1305"/>
      <c r="N965" s="794"/>
      <c r="O965" s="794"/>
    </row>
    <row r="966" spans="3:15">
      <c r="C966" s="727" t="s">
        <v>93</v>
      </c>
      <c r="D966" s="721"/>
      <c r="E966" s="721">
        <f>SUM(E906:E965)</f>
        <v>8427428</v>
      </c>
      <c r="F966" s="721"/>
      <c r="G966" s="721">
        <f>SUM(G906:G965)</f>
        <v>26335243.846693397</v>
      </c>
      <c r="H966" s="721">
        <f>SUM(H906:H965)</f>
        <v>26335243.846693397</v>
      </c>
      <c r="I966" s="721">
        <f>SUM(I906:I965)</f>
        <v>0</v>
      </c>
      <c r="J966" s="721"/>
      <c r="K966" s="721"/>
      <c r="L966" s="721"/>
      <c r="M966" s="721"/>
      <c r="N966" s="721"/>
      <c r="O966" s="308"/>
    </row>
    <row r="967" spans="3:15">
      <c r="D967" s="529"/>
      <c r="E967" s="308"/>
      <c r="F967" s="308"/>
      <c r="G967" s="308"/>
      <c r="H967" s="699"/>
      <c r="I967" s="699"/>
      <c r="J967" s="721"/>
      <c r="K967" s="699"/>
      <c r="L967" s="699"/>
      <c r="M967" s="699"/>
      <c r="N967" s="699"/>
      <c r="O967" s="308"/>
    </row>
    <row r="968" spans="3:15">
      <c r="C968" s="308" t="s">
        <v>15</v>
      </c>
      <c r="D968" s="529"/>
      <c r="E968" s="308"/>
      <c r="F968" s="308"/>
      <c r="G968" s="308"/>
      <c r="H968" s="699"/>
      <c r="I968" s="699"/>
      <c r="J968" s="721"/>
      <c r="K968" s="699"/>
      <c r="L968" s="699"/>
      <c r="M968" s="699"/>
      <c r="N968" s="699"/>
      <c r="O968" s="308"/>
    </row>
    <row r="969" spans="3:15">
      <c r="C969" s="308"/>
      <c r="D969" s="529"/>
      <c r="E969" s="308"/>
      <c r="F969" s="308"/>
      <c r="G969" s="308"/>
      <c r="H969" s="699"/>
      <c r="I969" s="699"/>
      <c r="J969" s="721"/>
      <c r="K969" s="699"/>
      <c r="L969" s="699"/>
      <c r="M969" s="699"/>
      <c r="N969" s="699"/>
      <c r="O969" s="308"/>
    </row>
    <row r="970" spans="3:15">
      <c r="C970" s="740" t="s">
        <v>16</v>
      </c>
      <c r="D970" s="727"/>
      <c r="E970" s="727"/>
      <c r="F970" s="727"/>
      <c r="G970" s="721"/>
      <c r="H970" s="721"/>
      <c r="I970" s="795"/>
      <c r="J970" s="795"/>
      <c r="K970" s="795"/>
      <c r="L970" s="795"/>
      <c r="M970" s="795"/>
      <c r="N970" s="795"/>
      <c r="O970" s="308"/>
    </row>
    <row r="971" spans="3:15">
      <c r="C971" s="726" t="s">
        <v>273</v>
      </c>
      <c r="D971" s="727"/>
      <c r="E971" s="727"/>
      <c r="F971" s="727"/>
      <c r="G971" s="721"/>
      <c r="H971" s="721"/>
      <c r="I971" s="795"/>
      <c r="J971" s="795"/>
      <c r="K971" s="795"/>
      <c r="L971" s="795"/>
      <c r="M971" s="795"/>
      <c r="N971" s="795"/>
      <c r="O971" s="308"/>
    </row>
    <row r="972" spans="3:15">
      <c r="C972" s="726" t="s">
        <v>94</v>
      </c>
      <c r="D972" s="727"/>
      <c r="E972" s="727"/>
      <c r="F972" s="727"/>
      <c r="G972" s="721"/>
      <c r="H972" s="721"/>
      <c r="I972" s="795"/>
      <c r="J972" s="795"/>
      <c r="K972" s="795"/>
      <c r="L972" s="795"/>
      <c r="M972" s="795"/>
      <c r="N972" s="795"/>
      <c r="O972" s="308"/>
    </row>
    <row r="973" spans="3:15">
      <c r="C973" s="726"/>
      <c r="D973" s="727"/>
      <c r="E973" s="727"/>
      <c r="F973" s="727"/>
      <c r="G973" s="721"/>
      <c r="H973" s="721"/>
      <c r="I973" s="795"/>
      <c r="J973" s="795"/>
      <c r="K973" s="795"/>
      <c r="L973" s="795"/>
      <c r="M973" s="795"/>
      <c r="N973" s="795"/>
      <c r="O973" s="308"/>
    </row>
    <row r="974" spans="3:15">
      <c r="C974" s="1552" t="s">
        <v>8</v>
      </c>
      <c r="D974" s="1552"/>
      <c r="E974" s="1552"/>
      <c r="F974" s="1552"/>
      <c r="G974" s="1552"/>
      <c r="H974" s="1552"/>
      <c r="I974" s="1552"/>
      <c r="J974" s="1552"/>
      <c r="K974" s="1552"/>
      <c r="L974" s="1552"/>
      <c r="M974" s="1552"/>
      <c r="N974" s="1552"/>
      <c r="O974" s="1552"/>
    </row>
    <row r="975" spans="3:15">
      <c r="C975" s="1552"/>
      <c r="D975" s="1552"/>
      <c r="E975" s="1552"/>
      <c r="F975" s="1552"/>
      <c r="G975" s="1552"/>
      <c r="H975" s="1552"/>
      <c r="I975" s="1552"/>
      <c r="J975" s="1552"/>
      <c r="K975" s="1552"/>
      <c r="L975" s="1552"/>
      <c r="M975" s="1552"/>
      <c r="N975" s="1552"/>
      <c r="O975" s="1552"/>
    </row>
  </sheetData>
  <mergeCells count="36">
    <mergeCell ref="D895:I896"/>
    <mergeCell ref="K899:O899"/>
    <mergeCell ref="C974:O975"/>
    <mergeCell ref="C883:O884"/>
    <mergeCell ref="D715:I716"/>
    <mergeCell ref="K719:O719"/>
    <mergeCell ref="C794:O795"/>
    <mergeCell ref="D804:I805"/>
    <mergeCell ref="K808:O808"/>
    <mergeCell ref="D537:I538"/>
    <mergeCell ref="K541:O541"/>
    <mergeCell ref="C616:O617"/>
    <mergeCell ref="D626:I627"/>
    <mergeCell ref="K630:O630"/>
    <mergeCell ref="C705:O706"/>
    <mergeCell ref="C169:O170"/>
    <mergeCell ref="K94:O94"/>
    <mergeCell ref="A3:O3"/>
    <mergeCell ref="C11:H12"/>
    <mergeCell ref="A4:O4"/>
    <mergeCell ref="A5:O5"/>
    <mergeCell ref="A6:O6"/>
    <mergeCell ref="I77:O80"/>
    <mergeCell ref="K22:O23"/>
    <mergeCell ref="K184:O184"/>
    <mergeCell ref="C259:O260"/>
    <mergeCell ref="D180:I181"/>
    <mergeCell ref="D269:I270"/>
    <mergeCell ref="K273:O273"/>
    <mergeCell ref="C348:O349"/>
    <mergeCell ref="C527:O528"/>
    <mergeCell ref="D358:I359"/>
    <mergeCell ref="K362:O362"/>
    <mergeCell ref="C437:O438"/>
    <mergeCell ref="D448:I449"/>
    <mergeCell ref="K452:O452"/>
  </mergeCells>
  <phoneticPr fontId="0" type="noConversion"/>
  <conditionalFormatting sqref="C101:C160">
    <cfRule type="cellIs" dxfId="24" priority="20" stopIfTrue="1" operator="equal">
      <formula>$I$92</formula>
    </cfRule>
  </conditionalFormatting>
  <conditionalFormatting sqref="C191:C250">
    <cfRule type="cellIs" dxfId="23" priority="9" stopIfTrue="1" operator="equal">
      <formula>$I$92</formula>
    </cfRule>
  </conditionalFormatting>
  <conditionalFormatting sqref="C280:C339">
    <cfRule type="cellIs" dxfId="22" priority="8" stopIfTrue="1" operator="equal">
      <formula>$I$92</formula>
    </cfRule>
  </conditionalFormatting>
  <conditionalFormatting sqref="C369:C428">
    <cfRule type="cellIs" dxfId="21" priority="7" stopIfTrue="1" operator="equal">
      <formula>$I$92</formula>
    </cfRule>
  </conditionalFormatting>
  <conditionalFormatting sqref="C459:C518">
    <cfRule type="cellIs" dxfId="20" priority="6" stopIfTrue="1" operator="equal">
      <formula>$I$92</formula>
    </cfRule>
  </conditionalFormatting>
  <conditionalFormatting sqref="C548:C607">
    <cfRule type="cellIs" dxfId="19" priority="5" stopIfTrue="1" operator="equal">
      <formula>$I$92</formula>
    </cfRule>
  </conditionalFormatting>
  <conditionalFormatting sqref="C637:C696">
    <cfRule type="cellIs" dxfId="18" priority="4" stopIfTrue="1" operator="equal">
      <formula>$I$92</formula>
    </cfRule>
  </conditionalFormatting>
  <conditionalFormatting sqref="C726:C785">
    <cfRule type="cellIs" dxfId="17" priority="3" stopIfTrue="1" operator="equal">
      <formula>$I$92</formula>
    </cfRule>
  </conditionalFormatting>
  <conditionalFormatting sqref="C815:C874">
    <cfRule type="cellIs" dxfId="16" priority="2" stopIfTrue="1" operator="equal">
      <formula>$I$92</formula>
    </cfRule>
  </conditionalFormatting>
  <conditionalFormatting sqref="C906:C965">
    <cfRule type="cellIs" dxfId="1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8" manualBreakCount="8">
    <brk id="80" max="14" man="1"/>
    <brk id="260" max="14" man="1"/>
    <brk id="349" max="14" man="1"/>
    <brk id="439" max="14" man="1"/>
    <brk id="528" max="14" man="1"/>
    <brk id="617" max="14" man="1"/>
    <brk id="706" max="14" man="1"/>
    <brk id="79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036"/>
  <sheetViews>
    <sheetView view="pageBreakPreview" topLeftCell="B936" zoomScale="70" zoomScaleNormal="70" zoomScaleSheetLayoutView="70" workbookViewId="0">
      <selection activeCell="E977" sqref="E977"/>
    </sheetView>
  </sheetViews>
  <sheetFormatPr defaultColWidth="8.85546875" defaultRowHeight="12.75"/>
  <cols>
    <col min="1" max="1" width="4.7109375" style="172" customWidth="1"/>
    <col min="2" max="2" width="6.7109375" style="384" customWidth="1"/>
    <col min="3" max="3" width="20.7109375" style="172" customWidth="1"/>
    <col min="4" max="4" width="22" style="269" customWidth="1"/>
    <col min="5" max="5" width="19.28515625" style="172" customWidth="1"/>
    <col min="6" max="8" width="17.7109375" style="172" customWidth="1"/>
    <col min="9" max="9" width="17.7109375" style="479" customWidth="1"/>
    <col min="10" max="10" width="17.7109375" style="172" bestFit="1" customWidth="1"/>
    <col min="11" max="11" width="2.140625" style="156" customWidth="1"/>
    <col min="12" max="12" width="17.7109375" style="308" customWidth="1"/>
    <col min="13" max="13" width="30.85546875" style="308" customWidth="1"/>
    <col min="14" max="14" width="17.7109375" style="308" customWidth="1"/>
    <col min="15" max="15" width="23.42578125" style="308" customWidth="1"/>
    <col min="16" max="16" width="16.7109375" style="308" customWidth="1"/>
    <col min="17" max="16384" width="8.85546875" style="172"/>
  </cols>
  <sheetData>
    <row r="1" spans="1:16" ht="15.75">
      <c r="A1" s="995" t="s">
        <v>416</v>
      </c>
    </row>
    <row r="2" spans="1:16" ht="15.75">
      <c r="A2" s="995" t="s">
        <v>416</v>
      </c>
    </row>
    <row r="3" spans="1:16" ht="15">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c r="I3" s="1497" t="str">
        <f>TCOS!$F$5</f>
        <v>AEPTCo subsidiaries in PJM</v>
      </c>
      <c r="J3" s="1497" t="str">
        <f>TCOS!$F$5</f>
        <v>AEPTCo subsidiaries in PJM</v>
      </c>
      <c r="K3" s="1497" t="str">
        <f>TCOS!$F$5</f>
        <v>AEPTCo subsidiaries in PJM</v>
      </c>
      <c r="L3" s="1497" t="str">
        <f>TCOS!$F$5</f>
        <v>AEPTCo subsidiaries in PJM</v>
      </c>
      <c r="M3" s="1497" t="str">
        <f>TCOS!$F$5</f>
        <v>AEPTCo subsidiaries in PJM</v>
      </c>
      <c r="N3" s="1497" t="str">
        <f>TCOS!$F$5</f>
        <v>AEPTCo subsidiaries in PJM</v>
      </c>
      <c r="O3" s="1497" t="str">
        <f>TCOS!$F$5</f>
        <v>AEPTCo subsidiaries in PJM</v>
      </c>
      <c r="P3" s="1497" t="str">
        <f>TCOS!$F$5</f>
        <v>AEPTCo subsidiaries in PJM</v>
      </c>
    </row>
    <row r="4" spans="1:16" ht="15">
      <c r="A4" s="1528" t="str">
        <f>"Cost of Service Formula Rate Using Actual/Projected FF1 Balances"</f>
        <v>Cost of Service Formula Rate Using Actual/Projected FF1 Balances</v>
      </c>
      <c r="B4" s="1528"/>
      <c r="C4" s="1528"/>
      <c r="D4" s="1528"/>
      <c r="E4" s="1528"/>
      <c r="F4" s="1528"/>
      <c r="G4" s="1528"/>
      <c r="H4" s="1528"/>
      <c r="I4" s="1528"/>
      <c r="J4" s="1528"/>
      <c r="K4" s="1528"/>
      <c r="L4" s="1528"/>
      <c r="M4" s="1528"/>
      <c r="N4" s="1528"/>
      <c r="O4" s="1528"/>
      <c r="P4" s="1528"/>
    </row>
    <row r="5" spans="1:16" ht="15">
      <c r="A5" s="1528" t="s">
        <v>267</v>
      </c>
      <c r="B5" s="1528"/>
      <c r="C5" s="1528"/>
      <c r="D5" s="1528"/>
      <c r="E5" s="1528"/>
      <c r="F5" s="1528"/>
      <c r="G5" s="1528"/>
      <c r="H5" s="1528"/>
      <c r="I5" s="1528"/>
      <c r="J5" s="1528"/>
      <c r="K5" s="1528"/>
      <c r="L5" s="1528"/>
      <c r="M5" s="1528"/>
      <c r="N5" s="1528"/>
      <c r="O5" s="1528"/>
      <c r="P5" s="1528"/>
    </row>
    <row r="6" spans="1:16" ht="15">
      <c r="A6" s="1529" t="str">
        <f>TCOS!F9</f>
        <v>AEP Indiana Michigan Transmission Company</v>
      </c>
      <c r="B6" s="1529"/>
      <c r="C6" s="1529"/>
      <c r="D6" s="1529"/>
      <c r="E6" s="1529"/>
      <c r="F6" s="1529"/>
      <c r="G6" s="1529"/>
      <c r="H6" s="1529"/>
      <c r="I6" s="1529"/>
      <c r="J6" s="1529"/>
      <c r="K6" s="1529"/>
      <c r="L6" s="1529"/>
      <c r="M6" s="1529"/>
      <c r="N6" s="1529"/>
      <c r="O6" s="1529"/>
      <c r="P6" s="1529"/>
    </row>
    <row r="8" spans="1:16" ht="20.25">
      <c r="A8" s="643"/>
      <c r="C8" s="384"/>
      <c r="O8" s="644" t="str">
        <f>"Page "&amp;Q8&amp;" of "</f>
        <v xml:space="preserve">Page  of </v>
      </c>
      <c r="P8" s="645">
        <f>COUNT(Q$8:Q$56657)</f>
        <v>10</v>
      </c>
    </row>
    <row r="9" spans="1:16" ht="18">
      <c r="C9" s="647"/>
    </row>
    <row r="11" spans="1:16" ht="17.100000000000001" customHeight="1">
      <c r="B11" s="648" t="s">
        <v>471</v>
      </c>
      <c r="C11" s="1555" t="str">
        <f>"Calculate Return and Income Taxes with "&amp;F17&amp;" basis point ROE increase for Projects Qualified for Regional Billing."</f>
        <v>Calculate Return and Income Taxes with 0 basis point ROE increase for Projects Qualified for Regional Billing.</v>
      </c>
      <c r="D11" s="1555"/>
      <c r="E11" s="1555"/>
      <c r="F11" s="1555"/>
      <c r="G11" s="1555"/>
      <c r="H11" s="1555"/>
      <c r="I11" s="1555"/>
    </row>
    <row r="12" spans="1:16" ht="18.75" customHeight="1">
      <c r="C12" s="1555"/>
      <c r="D12" s="1555"/>
      <c r="E12" s="1555"/>
      <c r="F12" s="1555"/>
      <c r="G12" s="1555"/>
      <c r="H12" s="1555"/>
      <c r="I12" s="1555"/>
    </row>
    <row r="13" spans="1:16" ht="15.75" customHeight="1">
      <c r="C13" s="649"/>
      <c r="D13" s="649"/>
      <c r="E13" s="649"/>
      <c r="F13" s="649"/>
      <c r="G13" s="649"/>
      <c r="H13" s="649"/>
      <c r="I13" s="649"/>
    </row>
    <row r="14" spans="1:16" ht="15.75">
      <c r="C14" s="650" t="str">
        <f>"A.   Determine 'R' with hypothetical "&amp;F17&amp;" basis point increase in ROE for Identified Projects"</f>
        <v>A.   Determine 'R' with hypothetical 0 basis point increase in ROE for Identified Projects</v>
      </c>
      <c r="D14" s="219"/>
    </row>
    <row r="15" spans="1:16">
      <c r="C15" s="208"/>
      <c r="D15" s="219"/>
    </row>
    <row r="16" spans="1:16">
      <c r="C16" s="651" t="str">
        <f>"   ROE w/o incentives  (TCOS, ln "&amp;TCOS!B235&amp;")"</f>
        <v xml:space="preserve">   ROE w/o incentives  (TCOS, ln 138)</v>
      </c>
      <c r="D16" s="219"/>
      <c r="E16" s="652"/>
      <c r="F16" s="805">
        <f>TCOS!J235</f>
        <v>0.10349999999999999</v>
      </c>
      <c r="G16" s="805"/>
      <c r="H16" s="652"/>
      <c r="I16" s="654"/>
      <c r="J16" s="654"/>
      <c r="K16" s="655"/>
      <c r="L16" s="654"/>
      <c r="M16" s="654"/>
      <c r="N16" s="654"/>
      <c r="O16" s="654"/>
      <c r="P16" s="654"/>
    </row>
    <row r="17" spans="3:16" ht="13.5" thickBot="1">
      <c r="C17" s="651" t="s">
        <v>52</v>
      </c>
      <c r="D17" s="219"/>
      <c r="E17" s="652"/>
      <c r="F17" s="796">
        <v>0</v>
      </c>
      <c r="G17" s="652"/>
      <c r="H17" s="652"/>
      <c r="I17" s="654"/>
      <c r="J17" s="654"/>
      <c r="K17" s="655"/>
      <c r="L17" s="654"/>
      <c r="M17" s="654"/>
      <c r="N17" s="654"/>
      <c r="O17" s="654"/>
      <c r="P17" s="654"/>
    </row>
    <row r="18" spans="3:16">
      <c r="C18" s="651" t="str">
        <f>"   ROE with additional "&amp;F17&amp;" basis point incentive"</f>
        <v xml:space="preserve">   ROE with additional 0 basis point incentive</v>
      </c>
      <c r="D18" s="652"/>
      <c r="E18" s="652"/>
      <c r="F18" s="657">
        <f>IF((F16+(F17/10000)&gt;0.125),"ERROR",F16+(F17/10000))</f>
        <v>0.10349999999999999</v>
      </c>
      <c r="G18" s="658"/>
      <c r="H18" s="652"/>
      <c r="I18" s="654"/>
      <c r="J18" s="654"/>
      <c r="K18" s="655"/>
      <c r="L18" s="806" t="s">
        <v>244</v>
      </c>
      <c r="M18" s="807"/>
      <c r="N18" s="807"/>
      <c r="O18" s="807"/>
      <c r="P18" s="808"/>
    </row>
    <row r="19" spans="3:16">
      <c r="C19" s="65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9"/>
      <c r="E19" s="652"/>
      <c r="F19" s="659"/>
      <c r="G19" s="659"/>
      <c r="H19" s="652"/>
      <c r="I19" s="654"/>
      <c r="J19" s="654"/>
      <c r="K19" s="655"/>
      <c r="L19" s="809"/>
      <c r="M19" s="655"/>
      <c r="N19" s="655" t="s">
        <v>54</v>
      </c>
      <c r="O19" s="655" t="s">
        <v>55</v>
      </c>
      <c r="P19" s="810" t="s">
        <v>57</v>
      </c>
    </row>
    <row r="20" spans="3:16">
      <c r="C20" s="655"/>
      <c r="D20" s="660" t="s">
        <v>446</v>
      </c>
      <c r="E20" s="660" t="s">
        <v>445</v>
      </c>
      <c r="F20" s="661" t="s">
        <v>53</v>
      </c>
      <c r="G20" s="661"/>
      <c r="H20" s="652"/>
      <c r="I20" s="654"/>
      <c r="J20" s="654"/>
      <c r="K20" s="655"/>
      <c r="L20" s="809" t="s">
        <v>242</v>
      </c>
      <c r="M20" s="811" t="e">
        <f>+TCOS!#REF!</f>
        <v>#REF!</v>
      </c>
      <c r="N20" s="418"/>
      <c r="O20" s="418"/>
      <c r="P20" s="812"/>
    </row>
    <row r="21" spans="3:16">
      <c r="C21" s="662" t="s">
        <v>58</v>
      </c>
      <c r="D21" s="813">
        <f>TCOS!H233</f>
        <v>0.44322724343395969</v>
      </c>
      <c r="E21" s="664">
        <f>TCOS!J233</f>
        <v>3.8251173500910944E-2</v>
      </c>
      <c r="F21" s="665">
        <f>E21*D21</f>
        <v>1.6953962188922884E-2</v>
      </c>
      <c r="G21" s="665"/>
      <c r="H21" s="652"/>
      <c r="I21" s="654"/>
      <c r="J21" s="666"/>
      <c r="K21" s="667"/>
      <c r="L21" s="814"/>
      <c r="M21" s="756" t="s">
        <v>243</v>
      </c>
      <c r="N21" s="947">
        <f>M88+M175+M262+M349+M436+M523+M610+M697+M784+M871</f>
        <v>48028718.6533041</v>
      </c>
      <c r="O21" s="947">
        <f>N88+N175+N262+N349+N436+N523+N610+N697+N784+N871</f>
        <v>48028718.6533041</v>
      </c>
      <c r="P21" s="815">
        <f>+O21-N21</f>
        <v>0</v>
      </c>
    </row>
    <row r="22" spans="3:16" ht="13.5" thickBot="1">
      <c r="C22" s="662" t="s">
        <v>59</v>
      </c>
      <c r="D22" s="813">
        <f>TCOS!H234</f>
        <v>0</v>
      </c>
      <c r="E22" s="664">
        <f>TCOS!J234</f>
        <v>0</v>
      </c>
      <c r="F22" s="665">
        <f>E22*D22</f>
        <v>0</v>
      </c>
      <c r="G22" s="665"/>
      <c r="H22" s="668"/>
      <c r="I22" s="668"/>
      <c r="J22" s="669"/>
      <c r="K22" s="670"/>
      <c r="L22" s="814"/>
      <c r="M22" s="756" t="s">
        <v>622</v>
      </c>
      <c r="N22" s="948">
        <f>M89+M176+M263+M350+M437+M524+M611+M698+M785+M872+M959</f>
        <v>48355529.187410012</v>
      </c>
      <c r="O22" s="948">
        <f>N89+N176+N263+N350+N437+N524+N611+N698+N785+N872+N959</f>
        <v>48355529.187410012</v>
      </c>
      <c r="P22" s="816">
        <f>+O22-N22</f>
        <v>0</v>
      </c>
    </row>
    <row r="23" spans="3:16">
      <c r="C23" s="671" t="s">
        <v>31</v>
      </c>
      <c r="D23" s="813">
        <f>TCOS!H235</f>
        <v>0.55677275656604019</v>
      </c>
      <c r="E23" s="664">
        <f>+F18</f>
        <v>0.10349999999999999</v>
      </c>
      <c r="F23" s="672">
        <f>E23*D23</f>
        <v>5.7625980304585156E-2</v>
      </c>
      <c r="G23" s="672"/>
      <c r="H23" s="668"/>
      <c r="I23" s="668"/>
      <c r="J23" s="669"/>
      <c r="K23" s="670"/>
      <c r="L23" s="814"/>
      <c r="M23" s="756" t="str">
        <f>"True-up of ARR For "&amp;TCOS!L4&amp;""</f>
        <v>True-up of ARR For 2022</v>
      </c>
      <c r="N23" s="727">
        <f>+N22-N21</f>
        <v>326810.53410591185</v>
      </c>
      <c r="O23" s="727">
        <f>+O22-O21</f>
        <v>326810.53410591185</v>
      </c>
      <c r="P23" s="817">
        <f>+P22-P21</f>
        <v>0</v>
      </c>
    </row>
    <row r="24" spans="3:16">
      <c r="C24" s="651"/>
      <c r="D24" s="172"/>
      <c r="E24" s="673" t="s">
        <v>60</v>
      </c>
      <c r="F24" s="665">
        <f>SUM(F21:F23)</f>
        <v>7.4579942493508036E-2</v>
      </c>
      <c r="G24" s="665"/>
      <c r="H24" s="668"/>
      <c r="I24" s="668"/>
      <c r="J24" s="669"/>
      <c r="K24" s="670"/>
      <c r="L24" s="814"/>
      <c r="M24" s="418"/>
      <c r="N24" s="418"/>
      <c r="O24" s="418"/>
      <c r="P24" s="812"/>
    </row>
    <row r="25" spans="3:16" ht="13.5" thickBot="1">
      <c r="C25" s="208"/>
      <c r="D25" s="678"/>
      <c r="E25" s="678"/>
      <c r="F25" s="668"/>
      <c r="G25" s="668"/>
      <c r="H25" s="668"/>
      <c r="I25" s="668"/>
      <c r="J25" s="668"/>
      <c r="K25" s="679"/>
      <c r="L25" s="818"/>
      <c r="M25" s="819"/>
      <c r="N25" s="820"/>
      <c r="O25" s="820"/>
      <c r="P25" s="816"/>
    </row>
    <row r="26" spans="3:16" ht="15.75">
      <c r="C26" s="650" t="str">
        <f>"B.   Determine Return using 'R' with hypothetical "&amp;F17&amp;" basis point ROE increase for Identified Projects."</f>
        <v>B.   Determine Return using 'R' with hypothetical 0 basis point ROE increase for Identified Projects.</v>
      </c>
      <c r="D26" s="678"/>
      <c r="E26" s="678"/>
      <c r="F26" s="683"/>
      <c r="G26" s="683"/>
      <c r="H26" s="668"/>
      <c r="I26" s="652"/>
      <c r="J26" s="668"/>
      <c r="K26" s="679"/>
      <c r="L26" s="668"/>
      <c r="M26" s="668"/>
      <c r="N26" s="668"/>
      <c r="O26" s="668"/>
      <c r="P26" s="668"/>
    </row>
    <row r="27" spans="3:16">
      <c r="C27" s="655"/>
      <c r="D27" s="678"/>
      <c r="E27" s="678"/>
      <c r="F27" s="679"/>
      <c r="G27" s="679"/>
      <c r="H27" s="679"/>
      <c r="I27" s="679"/>
      <c r="J27" s="679"/>
      <c r="K27" s="679"/>
      <c r="L27" s="679"/>
      <c r="M27" s="679"/>
      <c r="N27" s="679"/>
      <c r="O27" s="679"/>
      <c r="P27" s="679"/>
    </row>
    <row r="28" spans="3:16">
      <c r="C28" s="651" t="str">
        <f>"   Rate Base  (True-Up TCOS, ln "&amp;TCOS!B112&amp;")"</f>
        <v xml:space="preserve">   Rate Base  (True-Up TCOS, ln 58)</v>
      </c>
      <c r="D28" s="652"/>
      <c r="E28" s="689">
        <f>TCOS!L112</f>
        <v>2686230199.1060386</v>
      </c>
      <c r="F28" s="821"/>
      <c r="G28" s="821"/>
      <c r="H28" s="679"/>
      <c r="I28" s="679"/>
      <c r="J28" s="679"/>
      <c r="K28" s="679"/>
      <c r="L28" s="679"/>
      <c r="M28" s="679"/>
      <c r="N28" s="679"/>
      <c r="O28" s="679"/>
      <c r="P28" s="821"/>
    </row>
    <row r="29" spans="3:16">
      <c r="C29" s="655" t="s">
        <v>62</v>
      </c>
      <c r="D29" s="691"/>
      <c r="E29" s="665">
        <f>F24</f>
        <v>7.4579942493508036E-2</v>
      </c>
      <c r="F29" s="679"/>
      <c r="G29" s="679"/>
      <c r="H29" s="679"/>
      <c r="I29" s="679"/>
      <c r="J29" s="679"/>
      <c r="K29" s="679"/>
      <c r="L29" s="679"/>
      <c r="M29" s="679"/>
      <c r="N29" s="679"/>
      <c r="O29" s="679"/>
      <c r="P29" s="679"/>
    </row>
    <row r="30" spans="3:16">
      <c r="C30" s="692" t="s">
        <v>63</v>
      </c>
      <c r="D30" s="692"/>
      <c r="E30" s="669">
        <f>E28*E29</f>
        <v>200338893.773653</v>
      </c>
      <c r="F30" s="679"/>
      <c r="G30" s="679"/>
      <c r="H30" s="679"/>
      <c r="I30" s="679"/>
      <c r="J30" s="670"/>
      <c r="K30" s="670"/>
      <c r="L30" s="670"/>
      <c r="M30" s="670"/>
      <c r="N30" s="670"/>
      <c r="O30" s="670"/>
      <c r="P30" s="679"/>
    </row>
    <row r="31" spans="3:16">
      <c r="C31" s="693"/>
      <c r="D31" s="654"/>
      <c r="E31" s="654"/>
      <c r="F31" s="679"/>
      <c r="G31" s="679"/>
      <c r="H31" s="679"/>
      <c r="I31" s="679"/>
      <c r="J31" s="670"/>
      <c r="K31" s="670"/>
      <c r="L31" s="670"/>
      <c r="M31" s="670"/>
      <c r="N31" s="670"/>
      <c r="O31" s="670"/>
      <c r="P31" s="679"/>
    </row>
    <row r="32" spans="3:16" ht="15.75">
      <c r="C32" s="650" t="str">
        <f>"C.   Determine Income Taxes using Return with hypothetical "&amp;F17&amp;" basis point ROE increase for Identified Projects."</f>
        <v>C.   Determine Income Taxes using Return with hypothetical 0 basis point ROE increase for Identified Projects.</v>
      </c>
      <c r="D32" s="694"/>
      <c r="E32" s="694"/>
      <c r="F32" s="695"/>
      <c r="G32" s="695"/>
      <c r="H32" s="695"/>
      <c r="I32" s="695"/>
      <c r="J32" s="696"/>
      <c r="K32" s="696"/>
      <c r="L32" s="696"/>
      <c r="M32" s="696"/>
      <c r="N32" s="696"/>
      <c r="O32" s="696"/>
      <c r="P32" s="695"/>
    </row>
    <row r="33" spans="2:16">
      <c r="C33" s="651"/>
      <c r="D33" s="654"/>
      <c r="E33" s="654"/>
      <c r="F33" s="679"/>
      <c r="G33" s="679"/>
      <c r="H33" s="679"/>
      <c r="I33" s="679"/>
      <c r="J33" s="670"/>
      <c r="K33" s="670"/>
      <c r="L33" s="670"/>
      <c r="M33" s="670"/>
      <c r="N33" s="670"/>
      <c r="O33" s="670"/>
      <c r="P33" s="679"/>
    </row>
    <row r="34" spans="2:16">
      <c r="C34" s="655" t="s">
        <v>64</v>
      </c>
      <c r="D34" s="673"/>
      <c r="E34" s="697">
        <f>E30</f>
        <v>200338893.773653</v>
      </c>
      <c r="F34" s="679"/>
      <c r="G34" s="679"/>
      <c r="H34" s="679"/>
      <c r="I34" s="679"/>
      <c r="J34" s="679"/>
      <c r="K34" s="679"/>
      <c r="L34" s="679"/>
      <c r="M34" s="679"/>
      <c r="N34" s="679"/>
      <c r="O34" s="679"/>
      <c r="P34" s="679"/>
    </row>
    <row r="35" spans="2:16">
      <c r="C35" s="651" t="str">
        <f>"   Effective Tax Rate  (TCOS, ln "&amp;TCOS!B170&amp;")"</f>
        <v xml:space="preserve">   Effective Tax Rate  (TCOS, ln 97)</v>
      </c>
      <c r="D35" s="529"/>
      <c r="E35" s="698">
        <f>TCOS!G170</f>
        <v>0.25536717382130197</v>
      </c>
      <c r="F35" s="308"/>
      <c r="G35" s="308"/>
      <c r="H35" s="308"/>
      <c r="I35" s="699"/>
      <c r="J35" s="308"/>
      <c r="K35" s="418"/>
    </row>
    <row r="36" spans="2:16">
      <c r="C36" s="693" t="s">
        <v>65</v>
      </c>
      <c r="D36" s="529"/>
      <c r="E36" s="700">
        <f>E34*E35</f>
        <v>51159977.109463796</v>
      </c>
      <c r="F36" s="308"/>
      <c r="G36" s="308"/>
      <c r="H36" s="308"/>
      <c r="I36" s="699"/>
      <c r="J36" s="308"/>
      <c r="K36" s="418"/>
    </row>
    <row r="37" spans="2:16" ht="15">
      <c r="C37" s="651" t="s">
        <v>107</v>
      </c>
      <c r="D37" s="319"/>
      <c r="E37" s="701">
        <f>TCOS!L178</f>
        <v>0</v>
      </c>
      <c r="F37" s="319"/>
      <c r="G37" s="319"/>
      <c r="H37" s="319"/>
      <c r="I37" s="319"/>
      <c r="J37" s="319"/>
      <c r="K37" s="319"/>
      <c r="L37" s="319"/>
      <c r="M37" s="319"/>
      <c r="N37" s="319"/>
      <c r="O37" s="319"/>
      <c r="P37" s="230"/>
    </row>
    <row r="38" spans="2:16" ht="15">
      <c r="C38" s="651" t="s">
        <v>560</v>
      </c>
      <c r="D38" s="319"/>
      <c r="E38" s="701">
        <f>TCOS!L179</f>
        <v>1559373.683413229</v>
      </c>
      <c r="F38" s="319"/>
      <c r="G38" s="319"/>
      <c r="H38" s="319"/>
      <c r="I38" s="319"/>
      <c r="J38" s="319"/>
      <c r="K38" s="319"/>
      <c r="L38" s="319"/>
      <c r="M38" s="319"/>
      <c r="N38" s="319"/>
      <c r="O38" s="319"/>
      <c r="P38" s="230"/>
    </row>
    <row r="39" spans="2:16" ht="15">
      <c r="C39" s="651" t="s">
        <v>562</v>
      </c>
      <c r="D39" s="319"/>
      <c r="E39" s="822">
        <f>TCOS!L180</f>
        <v>441561.98216133477</v>
      </c>
      <c r="F39" s="319"/>
      <c r="G39" s="319"/>
      <c r="H39" s="319"/>
      <c r="I39" s="319"/>
      <c r="J39" s="319"/>
      <c r="K39" s="319"/>
      <c r="L39" s="319"/>
      <c r="M39" s="319"/>
      <c r="N39" s="319"/>
      <c r="O39" s="319"/>
      <c r="P39" s="230"/>
    </row>
    <row r="40" spans="2:16" ht="15">
      <c r="C40" s="693" t="s">
        <v>66</v>
      </c>
      <c r="D40" s="319"/>
      <c r="E40" s="701">
        <f>E36+E37+E38+E39</f>
        <v>53160912.775038362</v>
      </c>
      <c r="F40" s="319"/>
      <c r="G40" s="319"/>
      <c r="H40" s="319"/>
      <c r="I40" s="319"/>
      <c r="J40" s="319"/>
      <c r="K40" s="319"/>
      <c r="L40" s="319"/>
      <c r="M40" s="319"/>
      <c r="N40" s="319"/>
      <c r="O40" s="319"/>
      <c r="P40" s="188"/>
    </row>
    <row r="41" spans="2:16" ht="12.75" customHeight="1">
      <c r="C41" s="239"/>
      <c r="D41" s="319"/>
      <c r="E41" s="319"/>
      <c r="F41" s="319"/>
      <c r="G41" s="319"/>
      <c r="H41" s="319"/>
      <c r="I41" s="319"/>
      <c r="J41" s="319"/>
      <c r="K41" s="319"/>
      <c r="L41" s="319"/>
      <c r="M41" s="319"/>
      <c r="N41" s="319"/>
      <c r="O41" s="319"/>
      <c r="P41" s="188"/>
    </row>
    <row r="42" spans="2:16" ht="18.75">
      <c r="B42" s="648" t="s">
        <v>472</v>
      </c>
      <c r="C42" s="647" t="str">
        <f>"Calculate Net Plant Carrying Charge Rate (Fixed Charge Rate or FCR) with hypothetical "&amp;F17&amp;""</f>
        <v>Calculate Net Plant Carrying Charge Rate (Fixed Charge Rate or FCR) with hypothetical 0</v>
      </c>
      <c r="D42" s="319"/>
      <c r="E42" s="319"/>
      <c r="F42" s="319"/>
      <c r="G42" s="319"/>
      <c r="H42" s="319"/>
      <c r="I42" s="319"/>
      <c r="J42" s="319"/>
      <c r="K42" s="319"/>
      <c r="L42" s="319"/>
      <c r="M42" s="319"/>
      <c r="N42" s="319"/>
      <c r="O42" s="319"/>
      <c r="P42" s="188"/>
    </row>
    <row r="43" spans="2:16" ht="18.75" customHeight="1">
      <c r="C43" s="647" t="str">
        <f>"basis point ROE increase."</f>
        <v>basis point ROE increase.</v>
      </c>
      <c r="D43" s="319"/>
      <c r="E43" s="319"/>
      <c r="F43" s="319"/>
      <c r="G43" s="319"/>
      <c r="H43" s="319"/>
      <c r="I43" s="319"/>
      <c r="J43" s="319"/>
      <c r="K43" s="319"/>
      <c r="L43" s="319"/>
      <c r="M43" s="319"/>
      <c r="N43" s="319"/>
      <c r="O43" s="319"/>
      <c r="P43" s="188"/>
    </row>
    <row r="44" spans="2:16" ht="12.75" customHeight="1">
      <c r="C44" s="647"/>
      <c r="D44" s="319"/>
      <c r="E44" s="319"/>
      <c r="F44" s="319"/>
      <c r="G44" s="319"/>
      <c r="H44" s="319"/>
      <c r="I44" s="319"/>
      <c r="J44" s="319"/>
      <c r="K44" s="319"/>
      <c r="L44" s="319"/>
      <c r="M44" s="319"/>
      <c r="N44" s="319"/>
      <c r="O44" s="319"/>
      <c r="P44" s="188"/>
    </row>
    <row r="45" spans="2:16" ht="15.75">
      <c r="C45" s="650" t="s">
        <v>263</v>
      </c>
      <c r="D45" s="319"/>
      <c r="E45" s="319"/>
      <c r="F45" s="318"/>
      <c r="G45" s="318"/>
      <c r="H45" s="319"/>
      <c r="I45" s="319"/>
      <c r="J45" s="319"/>
      <c r="K45" s="319"/>
      <c r="L45" s="319"/>
      <c r="M45" s="319"/>
      <c r="N45" s="319"/>
      <c r="O45" s="319"/>
      <c r="P45" s="188"/>
    </row>
    <row r="46" spans="2:16">
      <c r="B46" s="341"/>
      <c r="C46" s="703"/>
      <c r="D46" s="704"/>
      <c r="E46" s="704"/>
      <c r="F46" s="704"/>
      <c r="G46" s="704"/>
      <c r="H46" s="704"/>
      <c r="I46" s="704"/>
      <c r="J46" s="704"/>
      <c r="K46" s="704"/>
      <c r="L46" s="704"/>
      <c r="M46" s="704"/>
      <c r="N46" s="704"/>
      <c r="O46" s="704"/>
      <c r="P46" s="701"/>
    </row>
    <row r="47" spans="2:16" ht="12.75" customHeight="1">
      <c r="B47" s="341"/>
      <c r="C47" s="651" t="str">
        <f>"   Annual Revenue Requirement  (TCOS, ln "&amp;TCOS!B13&amp;")"</f>
        <v xml:space="preserve">   Annual Revenue Requirement  (TCOS, ln 1)</v>
      </c>
      <c r="D47" s="704"/>
      <c r="E47" s="704"/>
      <c r="F47" s="701">
        <f>TCOS!L13</f>
        <v>413056164.43384409</v>
      </c>
      <c r="G47" s="701"/>
      <c r="H47" s="823" t="s">
        <v>416</v>
      </c>
      <c r="I47" s="704"/>
      <c r="J47" s="704"/>
      <c r="K47" s="704"/>
      <c r="L47" s="704"/>
      <c r="M47" s="704"/>
      <c r="N47" s="704"/>
      <c r="O47" s="704"/>
      <c r="P47" s="701"/>
    </row>
    <row r="48" spans="2:16" ht="12.75" customHeight="1">
      <c r="B48" s="341"/>
      <c r="C48" s="705" t="str">
        <f>"   Lease Payments (TCOS, Lns "&amp;TCOS!B150&amp;")"</f>
        <v xml:space="preserve">   Lease Payments (TCOS, Lns 80)</v>
      </c>
      <c r="D48" s="704"/>
      <c r="E48" s="704"/>
      <c r="F48" s="701">
        <f>TCOS!L150</f>
        <v>0</v>
      </c>
      <c r="G48" s="701"/>
      <c r="H48" s="823"/>
      <c r="I48" s="704"/>
      <c r="J48" s="704"/>
      <c r="K48" s="704"/>
      <c r="L48" s="704"/>
      <c r="M48" s="704"/>
      <c r="N48" s="704"/>
      <c r="O48" s="704"/>
      <c r="P48" s="701"/>
    </row>
    <row r="49" spans="2:16">
      <c r="B49" s="341"/>
      <c r="C49" s="651" t="str">
        <f>"   Return  (TCOS, ln "&amp;TCOS!B183&amp;")"</f>
        <v xml:space="preserve">   Return  (TCOS, ln 109)</v>
      </c>
      <c r="D49" s="704"/>
      <c r="E49" s="704"/>
      <c r="F49" s="706">
        <f>TCOS!L183</f>
        <v>199151809.91833746</v>
      </c>
      <c r="G49" s="706"/>
      <c r="H49" s="707"/>
      <c r="I49" s="707"/>
      <c r="J49" s="707"/>
      <c r="K49" s="707"/>
      <c r="L49" s="707"/>
      <c r="M49" s="707"/>
      <c r="N49" s="707"/>
      <c r="O49" s="707"/>
      <c r="P49" s="701"/>
    </row>
    <row r="50" spans="2:16">
      <c r="B50" s="341"/>
      <c r="C50" s="651" t="str">
        <f>"   Income Taxes  (TCOS, ln "&amp;TCOS!B181&amp;")"</f>
        <v xml:space="preserve">   Income Taxes  (TCOS, ln 108)</v>
      </c>
      <c r="D50" s="704"/>
      <c r="E50" s="704"/>
      <c r="F50" s="708">
        <f>TCOS!L181</f>
        <v>52857770.525817536</v>
      </c>
      <c r="G50" s="708"/>
      <c r="H50" s="704"/>
      <c r="I50" s="704"/>
      <c r="J50" s="709"/>
      <c r="K50" s="709"/>
      <c r="L50" s="709"/>
      <c r="M50" s="709"/>
      <c r="N50" s="709"/>
      <c r="O50" s="709"/>
      <c r="P50" s="704"/>
    </row>
    <row r="51" spans="2:16" ht="12.6" customHeight="1">
      <c r="B51" s="341"/>
      <c r="C51" s="1564" t="s">
        <v>623</v>
      </c>
      <c r="D51" s="1564"/>
      <c r="E51" s="704"/>
      <c r="F51" s="706">
        <f>F47-F49-F50-F48</f>
        <v>161046583.98968908</v>
      </c>
      <c r="G51" s="706"/>
      <c r="H51" s="710"/>
      <c r="I51" s="704"/>
      <c r="J51" s="710"/>
      <c r="K51" s="710"/>
      <c r="L51" s="710"/>
      <c r="M51" s="710"/>
      <c r="N51" s="710"/>
      <c r="O51" s="710"/>
      <c r="P51" s="710"/>
    </row>
    <row r="52" spans="2:16">
      <c r="B52" s="341"/>
      <c r="C52" s="1564"/>
      <c r="D52" s="1564"/>
      <c r="E52" s="704"/>
      <c r="F52" s="701"/>
      <c r="G52" s="701"/>
      <c r="H52" s="711"/>
      <c r="I52" s="712"/>
      <c r="J52" s="712"/>
      <c r="K52" s="712"/>
      <c r="L52" s="712"/>
      <c r="M52" s="712"/>
      <c r="N52" s="712"/>
      <c r="O52" s="712"/>
      <c r="P52" s="712"/>
    </row>
    <row r="53" spans="2:16" ht="15.75">
      <c r="B53" s="341"/>
      <c r="C53" s="650" t="str">
        <f>"B.   Determine Annual Revenue Requirement with hypothetical "&amp;F17&amp;" basis point increase in ROE."</f>
        <v>B.   Determine Annual Revenue Requirement with hypothetical 0 basis point increase in ROE.</v>
      </c>
      <c r="D53" s="713"/>
      <c r="E53" s="713"/>
      <c r="F53" s="701"/>
      <c r="G53" s="701"/>
      <c r="H53" s="711"/>
      <c r="I53" s="712"/>
      <c r="J53" s="712"/>
      <c r="K53" s="712"/>
      <c r="L53" s="712"/>
      <c r="M53" s="712"/>
      <c r="N53" s="712"/>
      <c r="O53" s="712"/>
      <c r="P53" s="712"/>
    </row>
    <row r="54" spans="2:16">
      <c r="B54" s="341"/>
      <c r="C54" s="703"/>
      <c r="D54" s="713"/>
      <c r="E54" s="713"/>
      <c r="F54" s="701"/>
      <c r="G54" s="701"/>
      <c r="H54" s="711"/>
      <c r="I54" s="712"/>
      <c r="J54" s="712"/>
      <c r="K54" s="712"/>
      <c r="L54" s="712"/>
      <c r="M54" s="712"/>
      <c r="N54" s="712"/>
      <c r="O54" s="712"/>
      <c r="P54" s="712"/>
    </row>
    <row r="55" spans="2:16">
      <c r="B55" s="341"/>
      <c r="C55" s="705" t="str">
        <f>C51</f>
        <v xml:space="preserve">   Annual Revenue Requirement, Less Lease Payments, Return and Taxes</v>
      </c>
      <c r="D55" s="713"/>
      <c r="E55" s="713"/>
      <c r="F55" s="701">
        <f>F51</f>
        <v>161046583.98968908</v>
      </c>
      <c r="G55" s="701"/>
      <c r="H55" s="704"/>
      <c r="I55" s="704"/>
      <c r="J55" s="704"/>
      <c r="K55" s="704"/>
      <c r="L55" s="704"/>
      <c r="M55" s="704"/>
      <c r="N55" s="704"/>
      <c r="O55" s="704"/>
      <c r="P55" s="714"/>
    </row>
    <row r="56" spans="2:16">
      <c r="B56" s="341"/>
      <c r="C56" s="655" t="s">
        <v>104</v>
      </c>
      <c r="D56" s="715"/>
      <c r="E56" s="716"/>
      <c r="F56" s="717">
        <f>E30</f>
        <v>200338893.773653</v>
      </c>
      <c r="G56" s="717"/>
      <c r="H56" s="716"/>
      <c r="I56" s="824"/>
      <c r="J56" s="716"/>
      <c r="K56" s="716"/>
      <c r="L56" s="716"/>
      <c r="M56" s="716"/>
      <c r="N56" s="716"/>
      <c r="O56" s="716"/>
      <c r="P56" s="716"/>
    </row>
    <row r="57" spans="2:16" ht="12.75" customHeight="1">
      <c r="B57" s="341"/>
      <c r="C57" s="651" t="s">
        <v>72</v>
      </c>
      <c r="D57" s="704"/>
      <c r="E57" s="704"/>
      <c r="F57" s="708">
        <f>E40</f>
        <v>53160912.775038362</v>
      </c>
      <c r="G57" s="708"/>
      <c r="H57" s="308"/>
      <c r="I57" s="699"/>
      <c r="J57" s="308"/>
      <c r="K57" s="418"/>
    </row>
    <row r="58" spans="2:16">
      <c r="B58" s="341"/>
      <c r="C58" s="716" t="str">
        <f>"   Annual Revenue Requirement, with "&amp;F17&amp;" Basis Point ROE increase"</f>
        <v xml:space="preserve">   Annual Revenue Requirement, with 0 Basis Point ROE increase</v>
      </c>
      <c r="D58" s="529"/>
      <c r="E58" s="308"/>
      <c r="F58" s="700">
        <f>SUM(F55:F57)</f>
        <v>414546390.53838044</v>
      </c>
      <c r="G58" s="700"/>
      <c r="H58" s="308"/>
      <c r="I58" s="699"/>
      <c r="J58" s="308"/>
      <c r="K58" s="418"/>
    </row>
    <row r="59" spans="2:16">
      <c r="B59" s="341"/>
      <c r="C59" s="651" t="str">
        <f>"   Depreciation  (TCOS, ln "&amp;TCOS!B154&amp;")"</f>
        <v xml:space="preserve">   Depreciation  (TCOS, ln 83)</v>
      </c>
      <c r="D59" s="529"/>
      <c r="E59" s="308"/>
      <c r="F59" s="718">
        <f>TCOS!L154</f>
        <v>85532984.29614073</v>
      </c>
      <c r="G59" s="718"/>
      <c r="H59" s="700"/>
      <c r="I59" s="699"/>
      <c r="J59" s="308"/>
      <c r="K59" s="418"/>
    </row>
    <row r="60" spans="2:16" ht="12.6" customHeight="1">
      <c r="B60" s="341"/>
      <c r="C60" s="1565" t="str">
        <f>"   Annual Rev. Req, w/ "&amp;F17&amp;" Basis Point ROE increase, less Depreciation"</f>
        <v xml:space="preserve">   Annual Rev. Req, w/ 0 Basis Point ROE increase, less Depreciation</v>
      </c>
      <c r="D60" s="1565"/>
      <c r="E60" s="308"/>
      <c r="F60" s="700">
        <f>F58-F59</f>
        <v>329013406.24223971</v>
      </c>
      <c r="G60" s="700"/>
      <c r="H60" s="308"/>
      <c r="I60" s="699"/>
      <c r="J60" s="308"/>
      <c r="K60" s="418"/>
    </row>
    <row r="61" spans="2:16">
      <c r="B61" s="341"/>
      <c r="C61" s="1565"/>
      <c r="D61" s="1565"/>
      <c r="E61" s="308"/>
      <c r="F61" s="308"/>
      <c r="G61" s="308"/>
      <c r="H61" s="308"/>
      <c r="I61" s="699"/>
      <c r="J61" s="308"/>
      <c r="K61" s="418"/>
    </row>
    <row r="62" spans="2:16" ht="15.75">
      <c r="B62" s="341"/>
      <c r="C62" s="650" t="str">
        <f>"C.   Determine FCR with hypothetical "&amp;F17&amp;" basis point ROE increase."</f>
        <v>C.   Determine FCR with hypothetical 0 basis point ROE increase.</v>
      </c>
      <c r="D62" s="529"/>
      <c r="E62" s="308"/>
      <c r="F62" s="308"/>
      <c r="G62" s="308"/>
      <c r="H62" s="308"/>
      <c r="I62" s="699"/>
      <c r="J62" s="308"/>
      <c r="K62" s="418"/>
    </row>
    <row r="63" spans="2:16">
      <c r="B63" s="341"/>
      <c r="C63" s="308"/>
      <c r="D63" s="529"/>
      <c r="E63" s="308"/>
      <c r="F63" s="308"/>
      <c r="G63" s="308"/>
      <c r="H63" s="308"/>
      <c r="I63" s="699"/>
      <c r="J63" s="308"/>
      <c r="K63" s="418"/>
    </row>
    <row r="64" spans="2:16">
      <c r="B64" s="341"/>
      <c r="C64" s="651" t="str">
        <f>"   Net Transmission Plant  (Projected TCOS, ln "&amp;TCOS!B79&amp;")"</f>
        <v xml:space="preserve">   Net Transmission Plant  (Projected TCOS, ln 33)</v>
      </c>
      <c r="D64" s="529"/>
      <c r="E64" s="308"/>
      <c r="F64" s="700">
        <f>TCOS!L79</f>
        <v>2851452895.6275201</v>
      </c>
      <c r="G64" s="700"/>
      <c r="H64" s="700"/>
      <c r="I64" s="825"/>
      <c r="J64" s="308"/>
      <c r="K64" s="418"/>
    </row>
    <row r="65" spans="2:16">
      <c r="B65" s="341"/>
      <c r="C65" s="716" t="str">
        <f>"   Annual Revenue Requirement, with "&amp;F17&amp;" Basis Point ROE increase"</f>
        <v xml:space="preserve">   Annual Revenue Requirement, with 0 Basis Point ROE increase</v>
      </c>
      <c r="D65" s="529"/>
      <c r="E65" s="308"/>
      <c r="F65" s="700">
        <f>F58</f>
        <v>414546390.53838044</v>
      </c>
      <c r="G65" s="700"/>
      <c r="H65" s="308"/>
      <c r="I65" s="699"/>
      <c r="J65" s="308"/>
      <c r="K65" s="418"/>
    </row>
    <row r="66" spans="2:16">
      <c r="B66" s="341"/>
      <c r="C66" s="716" t="str">
        <f>"   FCR with "&amp;F17&amp;" Basis Point increase in ROE"</f>
        <v xml:space="preserve">   FCR with 0 Basis Point increase in ROE</v>
      </c>
      <c r="D66" s="529"/>
      <c r="E66" s="308"/>
      <c r="F66" s="698">
        <f>IF(F64=0,0,F65/F64)</f>
        <v>0.14538076051477297</v>
      </c>
      <c r="G66" s="698"/>
      <c r="H66" s="698"/>
      <c r="I66" s="699"/>
      <c r="J66" s="308"/>
      <c r="K66" s="418"/>
    </row>
    <row r="67" spans="2:16">
      <c r="B67" s="341"/>
      <c r="C67" s="208"/>
      <c r="D67" s="529"/>
      <c r="E67" s="308"/>
      <c r="F67" s="341"/>
      <c r="G67" s="341"/>
      <c r="H67" s="308"/>
      <c r="I67" s="699"/>
      <c r="J67" s="308"/>
      <c r="K67" s="418"/>
    </row>
    <row r="68" spans="2:16">
      <c r="B68" s="341"/>
      <c r="C68" s="716" t="str">
        <f>"   Annual Rev. Req, w / "&amp;F17&amp;" Basis Point ROE increase, less Dep."</f>
        <v xml:space="preserve">   Annual Rev. Req, w / 0 Basis Point ROE increase, less Dep.</v>
      </c>
      <c r="D68" s="529"/>
      <c r="E68" s="308"/>
      <c r="F68" s="700">
        <f>F60</f>
        <v>329013406.24223971</v>
      </c>
      <c r="G68" s="700"/>
      <c r="H68" s="308"/>
      <c r="I68" s="699"/>
      <c r="J68" s="308"/>
      <c r="K68" s="418"/>
    </row>
    <row r="69" spans="2:16">
      <c r="B69" s="341"/>
      <c r="C69" s="716" t="str">
        <f>"   FCR with "&amp;F17&amp;" Basis Point ROE increase, less Depreciation"</f>
        <v xml:space="preserve">   FCR with 0 Basis Point ROE increase, less Depreciation</v>
      </c>
      <c r="D69" s="529"/>
      <c r="E69" s="308"/>
      <c r="F69" s="698">
        <f>IF(F68=0,0,F68/F64)</f>
        <v>0.11538447882016779</v>
      </c>
      <c r="G69" s="698"/>
      <c r="H69" s="308"/>
      <c r="I69" s="699"/>
      <c r="J69" s="308"/>
      <c r="K69" s="418"/>
    </row>
    <row r="70" spans="2:16">
      <c r="B70" s="341"/>
      <c r="C70" s="651" t="str">
        <f>"   FCR less Depreciation  (TCOS, ln "&amp;TCOS!B31&amp;")"</f>
        <v xml:space="preserve">   FCR less Depreciation  (TCOS, ln 10)</v>
      </c>
      <c r="D70" s="529"/>
      <c r="E70" s="308"/>
      <c r="F70" s="720">
        <f>TCOS!L31</f>
        <v>0.11486185889303469</v>
      </c>
      <c r="G70" s="720"/>
      <c r="H70" s="308"/>
      <c r="I70" s="699"/>
      <c r="J70" s="308"/>
      <c r="K70" s="418"/>
    </row>
    <row r="71" spans="2:16" ht="12.6" customHeight="1">
      <c r="B71" s="341"/>
      <c r="C71" s="1565" t="str">
        <f>"   Incremental FCR with "&amp;F17&amp;" Basis Point ROE increase, less Depreciation"</f>
        <v xml:space="preserve">   Incremental FCR with 0 Basis Point ROE increase, less Depreciation</v>
      </c>
      <c r="D71" s="1565"/>
      <c r="E71" s="308"/>
      <c r="F71" s="698">
        <f>F69-F70</f>
        <v>5.2261992713310834E-4</v>
      </c>
      <c r="G71" s="698"/>
      <c r="H71" s="308"/>
      <c r="I71" s="699"/>
      <c r="J71" s="308"/>
      <c r="K71" s="418"/>
    </row>
    <row r="72" spans="2:16">
      <c r="B72" s="341"/>
      <c r="C72" s="1565"/>
      <c r="D72" s="1565"/>
      <c r="E72" s="308"/>
      <c r="F72" s="698"/>
      <c r="G72" s="698"/>
      <c r="H72" s="308"/>
      <c r="I72" s="699"/>
      <c r="J72" s="308"/>
      <c r="K72" s="418"/>
    </row>
    <row r="73" spans="2:16" ht="18.75">
      <c r="B73" s="648" t="s">
        <v>473</v>
      </c>
      <c r="C73" s="647" t="s">
        <v>73</v>
      </c>
      <c r="D73" s="529"/>
      <c r="E73" s="308"/>
      <c r="F73" s="698"/>
      <c r="G73" s="698"/>
      <c r="H73" s="308"/>
      <c r="I73" s="699"/>
      <c r="J73" s="308"/>
      <c r="K73" s="418"/>
    </row>
    <row r="74" spans="2:16">
      <c r="B74" s="341"/>
      <c r="C74" s="716"/>
      <c r="D74" s="529"/>
      <c r="E74" s="308"/>
      <c r="F74" s="698"/>
      <c r="G74" s="698"/>
      <c r="H74" s="308"/>
      <c r="I74" s="699"/>
      <c r="J74" s="308"/>
      <c r="K74" s="418"/>
    </row>
    <row r="75" spans="2:16">
      <c r="B75" s="341"/>
      <c r="C75" s="716" t="str">
        <f>+"Average Transmission Plant Balance for "&amp;TCOS!L4&amp;" TCOS, ln "&amp;TCOS!B63</f>
        <v>Average Transmission Plant Balance for 2022 TCOS, ln 19</v>
      </c>
      <c r="D75" s="529"/>
      <c r="E75" s="308"/>
      <c r="F75" s="308"/>
      <c r="G75" s="308"/>
      <c r="H75" s="699">
        <f>TCOS!L63</f>
        <v>3114204438.5476923</v>
      </c>
      <c r="J75" s="308"/>
      <c r="K75" s="418"/>
    </row>
    <row r="76" spans="2:16">
      <c r="B76" s="341"/>
      <c r="C76" s="716" t="str">
        <f>"Annual Depreciation and Amortization Expense (TCOS, ln "&amp;TCOS!B154&amp;")"</f>
        <v>Annual Depreciation and Amortization Expense (TCOS, ln 83)</v>
      </c>
      <c r="D76" s="529"/>
      <c r="E76" s="308"/>
      <c r="H76" s="481">
        <f>TCOS!L154</f>
        <v>85532984.29614073</v>
      </c>
      <c r="I76" s="699"/>
      <c r="J76" s="308"/>
      <c r="K76" s="418"/>
    </row>
    <row r="77" spans="2:16" ht="12.6" customHeight="1">
      <c r="B77" s="341"/>
      <c r="C77" s="716" t="s">
        <v>74</v>
      </c>
      <c r="D77" s="529"/>
      <c r="E77" s="308"/>
      <c r="H77" s="890">
        <f>H76/H75</f>
        <v>2.7465436513226794E-2</v>
      </c>
      <c r="I77" s="722"/>
      <c r="J77" s="1557"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557"/>
      <c r="L77" s="1557"/>
      <c r="M77" s="1557"/>
      <c r="N77" s="1557"/>
      <c r="O77" s="1557"/>
      <c r="P77" s="1557"/>
    </row>
    <row r="78" spans="2:16">
      <c r="B78" s="341"/>
      <c r="C78" s="716" t="s">
        <v>75</v>
      </c>
      <c r="D78" s="529"/>
      <c r="E78" s="308"/>
      <c r="H78" s="723">
        <f>IF(H77=0,0,1/H77)</f>
        <v>36.409397663074479</v>
      </c>
      <c r="I78" s="699"/>
      <c r="J78" s="1557"/>
      <c r="K78" s="1557"/>
      <c r="L78" s="1557"/>
      <c r="M78" s="1557"/>
      <c r="N78" s="1557"/>
      <c r="O78" s="1557"/>
      <c r="P78" s="1557"/>
    </row>
    <row r="79" spans="2:16">
      <c r="B79" s="341"/>
      <c r="C79" s="716" t="s">
        <v>598</v>
      </c>
      <c r="D79" s="529"/>
      <c r="E79" s="308"/>
      <c r="H79" s="725">
        <f>ROUND(H78,0)</f>
        <v>36</v>
      </c>
      <c r="I79" s="699"/>
      <c r="J79" s="1557"/>
      <c r="K79" s="1557"/>
      <c r="L79" s="1557"/>
      <c r="M79" s="1557"/>
      <c r="N79" s="1557"/>
      <c r="O79" s="1557"/>
      <c r="P79" s="1557"/>
    </row>
    <row r="80" spans="2:16">
      <c r="B80" s="341"/>
      <c r="C80" s="716"/>
      <c r="D80" s="529"/>
      <c r="E80" s="308"/>
      <c r="H80" s="725"/>
      <c r="I80" s="699"/>
      <c r="J80" s="1557"/>
      <c r="K80" s="1557"/>
      <c r="L80" s="1557"/>
      <c r="M80" s="1557"/>
      <c r="N80" s="1557"/>
      <c r="O80" s="1557"/>
      <c r="P80" s="1557"/>
    </row>
    <row r="81" spans="1:17" ht="20.25">
      <c r="A81" s="728" t="str">
        <f>""&amp;A6&amp;" Worksheet K -  ATRR TRUE-UP Calculation for PJM Projects Charged to Benefiting Zones"</f>
        <v>AEP Indiana Michigan Transmission Company Worksheet K -  ATRR TRUE-UP Calculation for PJM Projects Charged to Benefiting Zones</v>
      </c>
      <c r="B81" s="341"/>
      <c r="C81" s="716"/>
      <c r="D81" s="529"/>
      <c r="E81" s="308"/>
      <c r="F81" s="698"/>
      <c r="G81" s="698"/>
      <c r="H81" s="308"/>
      <c r="I81" s="699"/>
      <c r="L81" s="555"/>
      <c r="M81" s="555"/>
      <c r="N81" s="555"/>
      <c r="O81" s="644" t="str">
        <f>"Page "&amp;SUM(Q$8:Q81)&amp;" of "</f>
        <v xml:space="preserve">Page 1 of </v>
      </c>
      <c r="P81" s="645">
        <f>COUNT(Q$8:Q$56657)</f>
        <v>10</v>
      </c>
      <c r="Q81" s="172">
        <v>1</v>
      </c>
    </row>
    <row r="82" spans="1:17">
      <c r="B82" s="341"/>
      <c r="C82" s="308"/>
      <c r="D82" s="529"/>
      <c r="E82" s="308"/>
      <c r="F82" s="308"/>
      <c r="G82" s="308"/>
      <c r="H82" s="308"/>
      <c r="I82" s="699"/>
      <c r="J82" s="308"/>
      <c r="K82" s="418"/>
    </row>
    <row r="83" spans="1:17" ht="18">
      <c r="B83" s="648" t="s">
        <v>474</v>
      </c>
      <c r="C83" s="730" t="s">
        <v>95</v>
      </c>
      <c r="D83" s="529"/>
      <c r="E83" s="308"/>
      <c r="F83" s="308"/>
      <c r="G83" s="308"/>
      <c r="H83" s="308"/>
      <c r="I83" s="699"/>
      <c r="J83" s="699"/>
      <c r="K83" s="721"/>
      <c r="L83" s="699"/>
      <c r="M83" s="699"/>
      <c r="N83" s="699"/>
      <c r="O83" s="699"/>
    </row>
    <row r="84" spans="1:17" ht="18.75">
      <c r="B84" s="648"/>
      <c r="C84" s="647"/>
      <c r="D84" s="529"/>
      <c r="E84" s="308"/>
      <c r="F84" s="308"/>
      <c r="G84" s="308"/>
      <c r="H84" s="308"/>
      <c r="I84" s="699"/>
      <c r="J84" s="699"/>
      <c r="K84" s="721"/>
      <c r="L84" s="699"/>
      <c r="M84" s="699"/>
      <c r="N84" s="699"/>
      <c r="O84" s="699"/>
    </row>
    <row r="85" spans="1:17" ht="18.75">
      <c r="B85" s="648"/>
      <c r="C85" s="647" t="s">
        <v>96</v>
      </c>
      <c r="D85" s="529"/>
      <c r="E85" s="308"/>
      <c r="F85" s="308"/>
      <c r="G85" s="308"/>
      <c r="H85" s="308"/>
      <c r="I85" s="699"/>
      <c r="J85" s="699"/>
      <c r="K85" s="721"/>
      <c r="L85" s="699"/>
      <c r="M85" s="699"/>
      <c r="N85" s="699"/>
      <c r="O85" s="699"/>
    </row>
    <row r="86" spans="1:17" ht="15.75" thickBot="1">
      <c r="C86" s="239"/>
      <c r="D86" s="529"/>
      <c r="E86" s="308"/>
      <c r="F86" s="308"/>
      <c r="G86" s="308"/>
      <c r="H86" s="308"/>
      <c r="I86" s="699"/>
      <c r="J86" s="699"/>
      <c r="K86" s="721"/>
      <c r="L86" s="699"/>
      <c r="M86" s="699"/>
      <c r="N86" s="699"/>
      <c r="O86" s="699"/>
    </row>
    <row r="87" spans="1:17" ht="15.75">
      <c r="C87" s="650" t="s">
        <v>97</v>
      </c>
      <c r="D87" s="529"/>
      <c r="E87" s="308"/>
      <c r="F87" s="308"/>
      <c r="G87" s="308"/>
      <c r="H87" s="797"/>
      <c r="I87" s="308" t="s">
        <v>76</v>
      </c>
      <c r="J87" s="308"/>
      <c r="K87" s="418"/>
      <c r="L87" s="826">
        <f>+J93</f>
        <v>2022</v>
      </c>
      <c r="M87" s="807" t="s">
        <v>54</v>
      </c>
      <c r="N87" s="807" t="s">
        <v>55</v>
      </c>
      <c r="O87" s="808" t="s">
        <v>57</v>
      </c>
    </row>
    <row r="88" spans="1:17" ht="15.75">
      <c r="C88" s="650"/>
      <c r="D88" s="529"/>
      <c r="E88" s="308"/>
      <c r="F88" s="308"/>
      <c r="H88" s="308"/>
      <c r="I88" s="735"/>
      <c r="J88" s="735"/>
      <c r="K88" s="736"/>
      <c r="L88" s="827" t="s">
        <v>245</v>
      </c>
      <c r="M88" s="828">
        <f>VLOOKUP(J93,C100:P159,10)</f>
        <v>742755.11595089233</v>
      </c>
      <c r="N88" s="828">
        <f>VLOOKUP(J93,C100:P159,12)</f>
        <v>742755.11595089233</v>
      </c>
      <c r="O88" s="829">
        <f>+N88-M88</f>
        <v>0</v>
      </c>
    </row>
    <row r="89" spans="1:17">
      <c r="C89" s="740" t="s">
        <v>98</v>
      </c>
      <c r="D89" s="1568" t="s">
        <v>815</v>
      </c>
      <c r="E89" s="1568"/>
      <c r="F89" s="1568"/>
      <c r="G89" s="1568"/>
      <c r="H89" s="1568"/>
      <c r="I89" s="1568"/>
      <c r="J89" s="699"/>
      <c r="K89" s="721"/>
      <c r="L89" s="827" t="s">
        <v>246</v>
      </c>
      <c r="M89" s="830">
        <f>VLOOKUP(J93,C100:P159,6)</f>
        <v>745415.63632900477</v>
      </c>
      <c r="N89" s="830">
        <f>VLOOKUP(J93,C100:P159,7)</f>
        <v>745415.63632900477</v>
      </c>
      <c r="O89" s="831">
        <f>+N89-M89</f>
        <v>0</v>
      </c>
    </row>
    <row r="90" spans="1:17" ht="13.5" thickBot="1">
      <c r="C90" s="744"/>
      <c r="D90" s="745"/>
      <c r="E90" s="725"/>
      <c r="F90" s="725"/>
      <c r="G90" s="725"/>
      <c r="H90" s="746"/>
      <c r="I90" s="699"/>
      <c r="J90" s="699"/>
      <c r="K90" s="721"/>
      <c r="L90" s="763" t="s">
        <v>247</v>
      </c>
      <c r="M90" s="832">
        <f>+M89-M88</f>
        <v>2660.5203781124437</v>
      </c>
      <c r="N90" s="832">
        <f>+N89-N88</f>
        <v>2660.5203781124437</v>
      </c>
      <c r="O90" s="833">
        <f>+O89-O88</f>
        <v>0</v>
      </c>
    </row>
    <row r="91" spans="1:17" ht="13.5" thickBot="1">
      <c r="C91" s="747"/>
      <c r="D91" s="748"/>
      <c r="E91" s="746"/>
      <c r="F91" s="746"/>
      <c r="G91" s="746"/>
      <c r="H91" s="746"/>
      <c r="I91" s="746"/>
      <c r="J91" s="746"/>
      <c r="K91" s="749"/>
      <c r="L91" s="746"/>
      <c r="M91" s="746"/>
      <c r="N91" s="746"/>
      <c r="O91" s="746"/>
      <c r="P91" s="341"/>
    </row>
    <row r="92" spans="1:17" ht="13.5" thickBot="1">
      <c r="C92" s="750" t="s">
        <v>99</v>
      </c>
      <c r="D92" s="751"/>
      <c r="E92" s="751"/>
      <c r="F92" s="751"/>
      <c r="G92" s="751"/>
      <c r="H92" s="751"/>
      <c r="I92" s="751"/>
      <c r="J92" s="751"/>
      <c r="K92" s="753"/>
      <c r="P92" s="754"/>
    </row>
    <row r="93" spans="1:17" ht="15">
      <c r="C93" s="755" t="s">
        <v>77</v>
      </c>
      <c r="D93" s="799">
        <v>6636011.2699999996</v>
      </c>
      <c r="E93" s="716" t="s">
        <v>78</v>
      </c>
      <c r="H93" s="756"/>
      <c r="I93" s="756"/>
      <c r="J93" s="757">
        <v>2022</v>
      </c>
      <c r="K93" s="545"/>
      <c r="L93" s="1554" t="s">
        <v>79</v>
      </c>
      <c r="M93" s="1554"/>
      <c r="N93" s="1554"/>
      <c r="O93" s="1554"/>
      <c r="P93" s="418"/>
    </row>
    <row r="94" spans="1:17">
      <c r="C94" s="755" t="s">
        <v>80</v>
      </c>
      <c r="D94" s="800">
        <v>2012</v>
      </c>
      <c r="E94" s="755" t="s">
        <v>81</v>
      </c>
      <c r="F94" s="756"/>
      <c r="G94" s="756"/>
      <c r="I94" s="172"/>
      <c r="J94" s="801">
        <f>IF(H87="",0,$F$17)</f>
        <v>0</v>
      </c>
      <c r="K94" s="758"/>
      <c r="L94" s="721" t="s">
        <v>287</v>
      </c>
      <c r="P94" s="418"/>
    </row>
    <row r="95" spans="1:17">
      <c r="C95" s="755" t="s">
        <v>82</v>
      </c>
      <c r="D95" s="799">
        <v>12</v>
      </c>
      <c r="E95" s="755" t="s">
        <v>83</v>
      </c>
      <c r="F95" s="756"/>
      <c r="G95" s="756"/>
      <c r="I95" s="172"/>
      <c r="J95" s="759">
        <f>$F$70</f>
        <v>0.11486185889303469</v>
      </c>
      <c r="K95" s="760"/>
      <c r="L95" s="308" t="str">
        <f>"          INPUT TRUE-UP ARR (WITH &amp; WITHOUT INCENTIVES) FROM EACH PRIOR YEAR"</f>
        <v xml:space="preserve">          INPUT TRUE-UP ARR (WITH &amp; WITHOUT INCENTIVES) FROM EACH PRIOR YEAR</v>
      </c>
      <c r="P95" s="418"/>
    </row>
    <row r="96" spans="1:17">
      <c r="C96" s="755" t="s">
        <v>84</v>
      </c>
      <c r="D96" s="761">
        <f>H$79</f>
        <v>36</v>
      </c>
      <c r="E96" s="755" t="s">
        <v>85</v>
      </c>
      <c r="F96" s="756"/>
      <c r="G96" s="756"/>
      <c r="I96" s="172"/>
      <c r="J96" s="759">
        <f>IF(H87="",+J95,$F$69)</f>
        <v>0.11486185889303469</v>
      </c>
      <c r="K96" s="762"/>
      <c r="L96" s="308" t="s">
        <v>167</v>
      </c>
      <c r="M96" s="762"/>
      <c r="N96" s="762"/>
      <c r="O96" s="762"/>
      <c r="P96" s="418"/>
    </row>
    <row r="97" spans="2:16" ht="13.5" thickBot="1">
      <c r="C97" s="755" t="s">
        <v>86</v>
      </c>
      <c r="D97" s="1322" t="s">
        <v>814</v>
      </c>
      <c r="E97" s="763" t="s">
        <v>87</v>
      </c>
      <c r="F97" s="764"/>
      <c r="G97" s="764"/>
      <c r="H97" s="765"/>
      <c r="I97" s="765"/>
      <c r="J97" s="743">
        <f>IF(D93=0,0,D93/D96)</f>
        <v>184333.64638888888</v>
      </c>
      <c r="K97" s="721"/>
      <c r="L97" s="721" t="s">
        <v>168</v>
      </c>
      <c r="M97" s="721"/>
      <c r="N97" s="721"/>
      <c r="O97" s="721"/>
      <c r="P97" s="418"/>
    </row>
    <row r="98" spans="2:16" ht="38.25">
      <c r="B98" s="836"/>
      <c r="C98" s="766" t="s">
        <v>77</v>
      </c>
      <c r="D98" s="767" t="s">
        <v>88</v>
      </c>
      <c r="E98" s="768" t="s">
        <v>89</v>
      </c>
      <c r="F98" s="767" t="s">
        <v>90</v>
      </c>
      <c r="G98" s="767" t="s">
        <v>248</v>
      </c>
      <c r="H98" s="768" t="s">
        <v>161</v>
      </c>
      <c r="I98" s="769" t="s">
        <v>161</v>
      </c>
      <c r="J98" s="766" t="s">
        <v>100</v>
      </c>
      <c r="K98" s="770"/>
      <c r="L98" s="768" t="s">
        <v>163</v>
      </c>
      <c r="M98" s="768" t="s">
        <v>169</v>
      </c>
      <c r="N98" s="768" t="s">
        <v>163</v>
      </c>
      <c r="O98" s="768" t="s">
        <v>171</v>
      </c>
      <c r="P98" s="768" t="s">
        <v>91</v>
      </c>
    </row>
    <row r="99" spans="2:16" ht="13.5" thickBot="1">
      <c r="C99" s="772" t="s">
        <v>477</v>
      </c>
      <c r="D99" s="773" t="s">
        <v>478</v>
      </c>
      <c r="E99" s="772" t="s">
        <v>371</v>
      </c>
      <c r="F99" s="773" t="s">
        <v>478</v>
      </c>
      <c r="G99" s="773" t="s">
        <v>478</v>
      </c>
      <c r="H99" s="774" t="s">
        <v>103</v>
      </c>
      <c r="I99" s="775" t="s">
        <v>105</v>
      </c>
      <c r="J99" s="776" t="s">
        <v>17</v>
      </c>
      <c r="K99" s="777"/>
      <c r="L99" s="774" t="s">
        <v>92</v>
      </c>
      <c r="M99" s="774" t="s">
        <v>92</v>
      </c>
      <c r="N99" s="774" t="s">
        <v>265</v>
      </c>
      <c r="O99" s="774" t="s">
        <v>265</v>
      </c>
      <c r="P99" s="774" t="s">
        <v>265</v>
      </c>
    </row>
    <row r="100" spans="2:16">
      <c r="C100" s="779">
        <f>IF(D94= "","-",D94)</f>
        <v>2012</v>
      </c>
      <c r="D100" s="727">
        <f>+D93</f>
        <v>6636011.2699999996</v>
      </c>
      <c r="E100" s="785">
        <f>+J97/12*(12-D95)</f>
        <v>0</v>
      </c>
      <c r="F100" s="834">
        <f t="shared" ref="F100:F159" si="0">+D100-E100</f>
        <v>6636011.2699999996</v>
      </c>
      <c r="G100" s="727">
        <f>+(D100+F100)/2</f>
        <v>6636011.2699999996</v>
      </c>
      <c r="H100" s="781">
        <f>+J95*G100+E100</f>
        <v>762224.59010732779</v>
      </c>
      <c r="I100" s="782">
        <f>+J96*G100+E100</f>
        <v>762224.59010732779</v>
      </c>
      <c r="J100" s="783">
        <f>+I100-H100</f>
        <v>0</v>
      </c>
      <c r="K100" s="783"/>
      <c r="L100" s="802">
        <v>655785.85588061344</v>
      </c>
      <c r="M100" s="835">
        <v>99630</v>
      </c>
      <c r="N100" s="802">
        <v>655785.85588061344</v>
      </c>
      <c r="O100" s="835">
        <v>99630</v>
      </c>
      <c r="P100" s="835">
        <f t="shared" ref="P100:P159" si="1">+O100-M100</f>
        <v>0</v>
      </c>
    </row>
    <row r="101" spans="2:16">
      <c r="C101" s="779">
        <f>IF(D94="","-",+C100+1)</f>
        <v>2013</v>
      </c>
      <c r="D101" s="727">
        <f t="shared" ref="D101:D159" si="2">F100</f>
        <v>6636011.2699999996</v>
      </c>
      <c r="E101" s="780">
        <f>IF(D101&gt;$J$97,$J$97,D101)</f>
        <v>184333.64638888888</v>
      </c>
      <c r="F101" s="780">
        <f t="shared" si="0"/>
        <v>6451677.6236111103</v>
      </c>
      <c r="G101" s="727">
        <f t="shared" ref="G101:G159" si="3">+(D101+F101)/2</f>
        <v>6543844.4468055554</v>
      </c>
      <c r="H101" s="785">
        <f>+J95*G101+E101</f>
        <v>935971.7838558373</v>
      </c>
      <c r="I101" s="786">
        <f>+J96*G101+E101</f>
        <v>935971.7838558373</v>
      </c>
      <c r="J101" s="783">
        <f>+I101-H101</f>
        <v>0</v>
      </c>
      <c r="K101" s="783"/>
      <c r="L101" s="803">
        <v>758010</v>
      </c>
      <c r="M101" s="783">
        <v>85590</v>
      </c>
      <c r="N101" s="803">
        <v>758010</v>
      </c>
      <c r="O101" s="783">
        <v>85590</v>
      </c>
      <c r="P101" s="783">
        <f t="shared" si="1"/>
        <v>0</v>
      </c>
    </row>
    <row r="102" spans="2:16">
      <c r="C102" s="779">
        <f>IF(D94="","-",+C101+1)</f>
        <v>2014</v>
      </c>
      <c r="D102" s="727">
        <f t="shared" si="2"/>
        <v>6451677.6236111103</v>
      </c>
      <c r="E102" s="780">
        <f t="shared" ref="E102:E159" si="4">IF(D102&gt;$J$97,$J$97,D102)</f>
        <v>184333.64638888888</v>
      </c>
      <c r="F102" s="780">
        <f t="shared" si="0"/>
        <v>6267343.977222221</v>
      </c>
      <c r="G102" s="727">
        <f t="shared" si="3"/>
        <v>6359510.8004166652</v>
      </c>
      <c r="H102" s="785">
        <f>+J95*G102+E102</f>
        <v>914798.87857507798</v>
      </c>
      <c r="I102" s="786">
        <f>+J96*G102+E102</f>
        <v>914798.87857507798</v>
      </c>
      <c r="J102" s="783">
        <f t="shared" ref="J102:J159" si="5">+I102-H102</f>
        <v>0</v>
      </c>
      <c r="K102" s="783"/>
      <c r="L102" s="803">
        <v>735370</v>
      </c>
      <c r="M102" s="783">
        <v>97252</v>
      </c>
      <c r="N102" s="803">
        <v>735370</v>
      </c>
      <c r="O102" s="783">
        <v>97252</v>
      </c>
      <c r="P102" s="783">
        <f t="shared" si="1"/>
        <v>0</v>
      </c>
    </row>
    <row r="103" spans="2:16">
      <c r="C103" s="779">
        <f>IF(D94="","-",+C102+1)</f>
        <v>2015</v>
      </c>
      <c r="D103" s="727">
        <f t="shared" si="2"/>
        <v>6267343.977222221</v>
      </c>
      <c r="E103" s="780">
        <f t="shared" si="4"/>
        <v>184333.64638888888</v>
      </c>
      <c r="F103" s="780">
        <f t="shared" si="0"/>
        <v>6083010.3308333317</v>
      </c>
      <c r="G103" s="727">
        <f t="shared" si="3"/>
        <v>6175177.1540277768</v>
      </c>
      <c r="H103" s="785">
        <f>+J95*G103+E103</f>
        <v>893625.97329431889</v>
      </c>
      <c r="I103" s="786">
        <f>+J96*G103+E103</f>
        <v>893625.97329431889</v>
      </c>
      <c r="J103" s="783">
        <f t="shared" si="5"/>
        <v>0</v>
      </c>
      <c r="K103" s="783"/>
      <c r="L103" s="803">
        <v>1351122</v>
      </c>
      <c r="M103" s="783">
        <v>-529479</v>
      </c>
      <c r="N103" s="803">
        <v>1351122</v>
      </c>
      <c r="O103" s="783">
        <v>-529479</v>
      </c>
      <c r="P103" s="783">
        <f t="shared" si="1"/>
        <v>0</v>
      </c>
    </row>
    <row r="104" spans="2:16">
      <c r="C104" s="779">
        <f>IF(D94="","-",+C103+1)</f>
        <v>2016</v>
      </c>
      <c r="D104" s="727">
        <f t="shared" si="2"/>
        <v>6083010.3308333317</v>
      </c>
      <c r="E104" s="780">
        <f t="shared" si="4"/>
        <v>184333.64638888888</v>
      </c>
      <c r="F104" s="780">
        <f t="shared" si="0"/>
        <v>5898676.6844444424</v>
      </c>
      <c r="G104" s="727">
        <f t="shared" si="3"/>
        <v>5990843.5076388866</v>
      </c>
      <c r="H104" s="785">
        <f>+J95*G104+E104</f>
        <v>872453.06801355956</v>
      </c>
      <c r="I104" s="786">
        <f>+J96*G104+E104</f>
        <v>872453.06801355956</v>
      </c>
      <c r="J104" s="783">
        <f t="shared" si="5"/>
        <v>0</v>
      </c>
      <c r="K104" s="783"/>
      <c r="L104" s="803">
        <v>758565</v>
      </c>
      <c r="M104" s="783">
        <f t="shared" ref="M104:M159" si="6">IF(L104&lt;&gt;0,+H104-L104,0)</f>
        <v>113888.06801355956</v>
      </c>
      <c r="N104" s="803">
        <v>758565</v>
      </c>
      <c r="O104" s="783">
        <f t="shared" ref="O104:O159" si="7">IF(N104&lt;&gt;0,+I104-N104,0)</f>
        <v>113888.06801355956</v>
      </c>
      <c r="P104" s="783">
        <f t="shared" si="1"/>
        <v>0</v>
      </c>
    </row>
    <row r="105" spans="2:16">
      <c r="C105" s="779">
        <f>IF(D94="","-",+C104+1)</f>
        <v>2017</v>
      </c>
      <c r="D105" s="727">
        <f t="shared" si="2"/>
        <v>5898676.6844444424</v>
      </c>
      <c r="E105" s="780">
        <f t="shared" si="4"/>
        <v>184333.64638888888</v>
      </c>
      <c r="F105" s="780">
        <f t="shared" si="0"/>
        <v>5714343.0380555531</v>
      </c>
      <c r="G105" s="727">
        <f t="shared" si="3"/>
        <v>5806509.8612499982</v>
      </c>
      <c r="H105" s="785">
        <f>+J95*G105+E105</f>
        <v>851280.1627328007</v>
      </c>
      <c r="I105" s="786">
        <f>+J96*G105+E105</f>
        <v>851280.1627328007</v>
      </c>
      <c r="J105" s="783">
        <f t="shared" si="5"/>
        <v>0</v>
      </c>
      <c r="K105" s="783"/>
      <c r="L105" s="803">
        <v>1860187</v>
      </c>
      <c r="M105" s="783">
        <f t="shared" si="6"/>
        <v>-1008906.8372671993</v>
      </c>
      <c r="N105" s="803">
        <v>1860187</v>
      </c>
      <c r="O105" s="783">
        <f t="shared" si="7"/>
        <v>-1008906.8372671993</v>
      </c>
      <c r="P105" s="783">
        <f t="shared" si="1"/>
        <v>0</v>
      </c>
    </row>
    <row r="106" spans="2:16">
      <c r="C106" s="779">
        <f>IF(D94="","-",+C105+1)</f>
        <v>2018</v>
      </c>
      <c r="D106" s="1393">
        <f t="shared" si="2"/>
        <v>5714343.0380555531</v>
      </c>
      <c r="E106" s="780">
        <f t="shared" si="4"/>
        <v>184333.64638888888</v>
      </c>
      <c r="F106" s="780">
        <f t="shared" si="0"/>
        <v>5530009.3916666638</v>
      </c>
      <c r="G106" s="727">
        <f t="shared" si="3"/>
        <v>5622176.214861108</v>
      </c>
      <c r="H106" s="785">
        <f>+J95*G106+E106</f>
        <v>830107.25745204138</v>
      </c>
      <c r="I106" s="786">
        <f>+J96*G106+E106</f>
        <v>830107.25745204138</v>
      </c>
      <c r="J106" s="783">
        <f t="shared" si="5"/>
        <v>0</v>
      </c>
      <c r="K106" s="783"/>
      <c r="L106" s="803">
        <v>1592956</v>
      </c>
      <c r="M106" s="783">
        <f t="shared" si="6"/>
        <v>-762848.74254795862</v>
      </c>
      <c r="N106" s="803">
        <v>1592956</v>
      </c>
      <c r="O106" s="783">
        <f t="shared" si="7"/>
        <v>-762848.74254795862</v>
      </c>
      <c r="P106" s="783">
        <f t="shared" si="1"/>
        <v>0</v>
      </c>
    </row>
    <row r="107" spans="2:16">
      <c r="C107" s="779">
        <f>IF(D94="","-",+C106+1)</f>
        <v>2019</v>
      </c>
      <c r="D107" s="727">
        <f t="shared" si="2"/>
        <v>5530009.3916666638</v>
      </c>
      <c r="E107" s="780">
        <f t="shared" si="4"/>
        <v>184333.64638888888</v>
      </c>
      <c r="F107" s="780">
        <f t="shared" si="0"/>
        <v>5345675.7452777745</v>
      </c>
      <c r="G107" s="727">
        <f t="shared" si="3"/>
        <v>5437842.5684722196</v>
      </c>
      <c r="H107" s="785">
        <f>+J95*G107+E107</f>
        <v>808934.35217128228</v>
      </c>
      <c r="I107" s="786">
        <f>+J96*G107+E107</f>
        <v>808934.35217128228</v>
      </c>
      <c r="J107" s="783">
        <f t="shared" si="5"/>
        <v>0</v>
      </c>
      <c r="K107" s="783"/>
      <c r="L107" s="1304">
        <v>744108</v>
      </c>
      <c r="M107" s="783">
        <f t="shared" si="6"/>
        <v>64826.352171282284</v>
      </c>
      <c r="N107" s="803">
        <v>744108</v>
      </c>
      <c r="O107" s="783">
        <f t="shared" si="7"/>
        <v>64826.352171282284</v>
      </c>
      <c r="P107" s="783">
        <f t="shared" si="1"/>
        <v>0</v>
      </c>
    </row>
    <row r="108" spans="2:16">
      <c r="C108" s="779">
        <f>IF(D94="","-",+C107+1)</f>
        <v>2020</v>
      </c>
      <c r="D108" s="727">
        <f t="shared" si="2"/>
        <v>5345675.7452777745</v>
      </c>
      <c r="E108" s="780">
        <f t="shared" si="4"/>
        <v>184333.64638888888</v>
      </c>
      <c r="F108" s="780">
        <f t="shared" si="0"/>
        <v>5161342.0988888852</v>
      </c>
      <c r="G108" s="727">
        <f t="shared" si="3"/>
        <v>5253508.9220833294</v>
      </c>
      <c r="H108" s="785">
        <f>+J95*G108+E108</f>
        <v>787761.44689052296</v>
      </c>
      <c r="I108" s="786">
        <f>+J96*G108+E108</f>
        <v>787761.44689052296</v>
      </c>
      <c r="J108" s="783">
        <f t="shared" si="5"/>
        <v>0</v>
      </c>
      <c r="K108" s="783"/>
      <c r="L108" s="803">
        <v>752419.89785591606</v>
      </c>
      <c r="M108" s="783">
        <f t="shared" si="6"/>
        <v>35341.549034606898</v>
      </c>
      <c r="N108" s="1304">
        <v>752419.89785591606</v>
      </c>
      <c r="O108" s="783">
        <f t="shared" si="7"/>
        <v>35341.549034606898</v>
      </c>
      <c r="P108" s="783">
        <f t="shared" si="1"/>
        <v>0</v>
      </c>
    </row>
    <row r="109" spans="2:16">
      <c r="C109" s="779">
        <f>IF(D94="","-",+C108+1)</f>
        <v>2021</v>
      </c>
      <c r="D109" s="727">
        <f t="shared" si="2"/>
        <v>5161342.0988888852</v>
      </c>
      <c r="E109" s="780">
        <f t="shared" si="4"/>
        <v>184333.64638888888</v>
      </c>
      <c r="F109" s="780">
        <f t="shared" si="0"/>
        <v>4977008.4524999959</v>
      </c>
      <c r="G109" s="727">
        <f t="shared" si="3"/>
        <v>5069175.2756944411</v>
      </c>
      <c r="H109" s="785">
        <f>+J95*G109+E109</f>
        <v>766588.54160976387</v>
      </c>
      <c r="I109" s="786">
        <f>+J96*G109+E109</f>
        <v>766588.54160976387</v>
      </c>
      <c r="J109" s="783">
        <f t="shared" si="5"/>
        <v>0</v>
      </c>
      <c r="K109" s="783"/>
      <c r="L109" s="803">
        <v>734291.1289593752</v>
      </c>
      <c r="M109" s="783">
        <f t="shared" si="6"/>
        <v>32297.412650388665</v>
      </c>
      <c r="N109" s="1304">
        <v>734291.1289593752</v>
      </c>
      <c r="O109" s="783">
        <f t="shared" si="7"/>
        <v>32297.412650388665</v>
      </c>
      <c r="P109" s="783">
        <f t="shared" si="1"/>
        <v>0</v>
      </c>
    </row>
    <row r="110" spans="2:16">
      <c r="C110" s="779">
        <f>IF(D94="","-",+C109+1)</f>
        <v>2022</v>
      </c>
      <c r="D110" s="727">
        <f t="shared" si="2"/>
        <v>4977008.4524999959</v>
      </c>
      <c r="E110" s="780">
        <f t="shared" si="4"/>
        <v>184333.64638888888</v>
      </c>
      <c r="F110" s="780">
        <f t="shared" si="0"/>
        <v>4792674.8061111066</v>
      </c>
      <c r="G110" s="727">
        <f t="shared" si="3"/>
        <v>4884841.6293055508</v>
      </c>
      <c r="H110" s="785">
        <f>+J95*G110+E110</f>
        <v>745415.63632900477</v>
      </c>
      <c r="I110" s="786">
        <f>+J96*G110+E110</f>
        <v>745415.63632900477</v>
      </c>
      <c r="J110" s="783">
        <f t="shared" si="5"/>
        <v>0</v>
      </c>
      <c r="K110" s="783"/>
      <c r="L110" s="803">
        <v>742755.11595089233</v>
      </c>
      <c r="M110" s="783">
        <f t="shared" si="6"/>
        <v>2660.5203781124437</v>
      </c>
      <c r="N110" s="803">
        <v>742755.11595089233</v>
      </c>
      <c r="O110" s="783">
        <f t="shared" si="7"/>
        <v>2660.5203781124437</v>
      </c>
      <c r="P110" s="783">
        <f t="shared" si="1"/>
        <v>0</v>
      </c>
    </row>
    <row r="111" spans="2:16">
      <c r="C111" s="779">
        <f>IF(D94="","-",+C110+1)</f>
        <v>2023</v>
      </c>
      <c r="D111" s="727">
        <f t="shared" si="2"/>
        <v>4792674.8061111066</v>
      </c>
      <c r="E111" s="780">
        <f t="shared" si="4"/>
        <v>184333.64638888888</v>
      </c>
      <c r="F111" s="780">
        <f t="shared" si="0"/>
        <v>4608341.1597222174</v>
      </c>
      <c r="G111" s="727">
        <f t="shared" si="3"/>
        <v>4700507.9829166625</v>
      </c>
      <c r="H111" s="785">
        <f>+J95*G111+E111</f>
        <v>724242.73104824568</v>
      </c>
      <c r="I111" s="786">
        <f>+J96*G111+E111</f>
        <v>724242.73104824568</v>
      </c>
      <c r="J111" s="783">
        <f t="shared" si="5"/>
        <v>0</v>
      </c>
      <c r="K111" s="783"/>
      <c r="L111" s="803"/>
      <c r="M111" s="783">
        <f t="shared" si="6"/>
        <v>0</v>
      </c>
      <c r="N111" s="803"/>
      <c r="O111" s="783">
        <f t="shared" si="7"/>
        <v>0</v>
      </c>
      <c r="P111" s="783">
        <f t="shared" si="1"/>
        <v>0</v>
      </c>
    </row>
    <row r="112" spans="2:16">
      <c r="C112" s="779">
        <f>IF(D94="","-",+C111+1)</f>
        <v>2024</v>
      </c>
      <c r="D112" s="727">
        <f t="shared" si="2"/>
        <v>4608341.1597222174</v>
      </c>
      <c r="E112" s="780">
        <f t="shared" si="4"/>
        <v>184333.64638888888</v>
      </c>
      <c r="F112" s="780">
        <f t="shared" si="0"/>
        <v>4424007.5133333281</v>
      </c>
      <c r="G112" s="727">
        <f t="shared" si="3"/>
        <v>4516174.3365277722</v>
      </c>
      <c r="H112" s="785">
        <f>+J95*G112+E112</f>
        <v>703069.82576748636</v>
      </c>
      <c r="I112" s="786">
        <f>+J96*G112+E112</f>
        <v>703069.82576748636</v>
      </c>
      <c r="J112" s="783">
        <f t="shared" si="5"/>
        <v>0</v>
      </c>
      <c r="K112" s="783"/>
      <c r="L112" s="803"/>
      <c r="M112" s="783">
        <f t="shared" si="6"/>
        <v>0</v>
      </c>
      <c r="N112" s="803"/>
      <c r="O112" s="783">
        <f t="shared" si="7"/>
        <v>0</v>
      </c>
      <c r="P112" s="783">
        <f t="shared" si="1"/>
        <v>0</v>
      </c>
    </row>
    <row r="113" spans="3:16">
      <c r="C113" s="779">
        <f>IF(D94="","-",+C112+1)</f>
        <v>2025</v>
      </c>
      <c r="D113" s="727">
        <f t="shared" si="2"/>
        <v>4424007.5133333281</v>
      </c>
      <c r="E113" s="780">
        <f t="shared" si="4"/>
        <v>184333.64638888888</v>
      </c>
      <c r="F113" s="780">
        <f t="shared" si="0"/>
        <v>4239673.8669444388</v>
      </c>
      <c r="G113" s="727">
        <f t="shared" si="3"/>
        <v>4331840.6901388839</v>
      </c>
      <c r="H113" s="785">
        <f>+J95*G113+E113</f>
        <v>681896.92048672726</v>
      </c>
      <c r="I113" s="786">
        <f>+J96*G113+E113</f>
        <v>681896.92048672726</v>
      </c>
      <c r="J113" s="783">
        <f t="shared" si="5"/>
        <v>0</v>
      </c>
      <c r="K113" s="783"/>
      <c r="L113" s="803"/>
      <c r="M113" s="783">
        <f t="shared" si="6"/>
        <v>0</v>
      </c>
      <c r="N113" s="803"/>
      <c r="O113" s="783">
        <f t="shared" si="7"/>
        <v>0</v>
      </c>
      <c r="P113" s="783">
        <f t="shared" si="1"/>
        <v>0</v>
      </c>
    </row>
    <row r="114" spans="3:16">
      <c r="C114" s="779">
        <f>IF(D94="","-",+C113+1)</f>
        <v>2026</v>
      </c>
      <c r="D114" s="727">
        <f t="shared" si="2"/>
        <v>4239673.8669444388</v>
      </c>
      <c r="E114" s="780">
        <f t="shared" si="4"/>
        <v>184333.64638888888</v>
      </c>
      <c r="F114" s="780">
        <f t="shared" si="0"/>
        <v>4055340.22055555</v>
      </c>
      <c r="G114" s="727">
        <f t="shared" si="3"/>
        <v>4147507.0437499946</v>
      </c>
      <c r="H114" s="785">
        <f>+J95*G114+E114</f>
        <v>660724.01520596817</v>
      </c>
      <c r="I114" s="786">
        <f>+J96*G114+E114</f>
        <v>660724.01520596817</v>
      </c>
      <c r="J114" s="783">
        <f t="shared" si="5"/>
        <v>0</v>
      </c>
      <c r="K114" s="783"/>
      <c r="L114" s="803"/>
      <c r="M114" s="783">
        <f t="shared" si="6"/>
        <v>0</v>
      </c>
      <c r="N114" s="803"/>
      <c r="O114" s="783">
        <f t="shared" si="7"/>
        <v>0</v>
      </c>
      <c r="P114" s="783">
        <f t="shared" si="1"/>
        <v>0</v>
      </c>
    </row>
    <row r="115" spans="3:16">
      <c r="C115" s="779">
        <f>IF(D94="","-",+C114+1)</f>
        <v>2027</v>
      </c>
      <c r="D115" s="727">
        <f t="shared" si="2"/>
        <v>4055340.22055555</v>
      </c>
      <c r="E115" s="780">
        <f t="shared" si="4"/>
        <v>184333.64638888888</v>
      </c>
      <c r="F115" s="780">
        <f t="shared" si="0"/>
        <v>3871006.5741666611</v>
      </c>
      <c r="G115" s="727">
        <f t="shared" si="3"/>
        <v>3963173.3973611053</v>
      </c>
      <c r="H115" s="785">
        <f>+J95*G115+E115</f>
        <v>639551.10992520908</v>
      </c>
      <c r="I115" s="786">
        <f>+J96*G115+E115</f>
        <v>639551.10992520908</v>
      </c>
      <c r="J115" s="783">
        <f t="shared" si="5"/>
        <v>0</v>
      </c>
      <c r="K115" s="783"/>
      <c r="L115" s="803"/>
      <c r="M115" s="783">
        <f t="shared" si="6"/>
        <v>0</v>
      </c>
      <c r="N115" s="803"/>
      <c r="O115" s="783">
        <f t="shared" si="7"/>
        <v>0</v>
      </c>
      <c r="P115" s="783">
        <f t="shared" si="1"/>
        <v>0</v>
      </c>
    </row>
    <row r="116" spans="3:16">
      <c r="C116" s="779">
        <f>IF(D94="","-",+C115+1)</f>
        <v>2028</v>
      </c>
      <c r="D116" s="727">
        <f t="shared" si="2"/>
        <v>3871006.5741666611</v>
      </c>
      <c r="E116" s="780">
        <f t="shared" si="4"/>
        <v>184333.64638888888</v>
      </c>
      <c r="F116" s="780">
        <f t="shared" si="0"/>
        <v>3686672.9277777723</v>
      </c>
      <c r="G116" s="727">
        <f t="shared" si="3"/>
        <v>3778839.7509722169</v>
      </c>
      <c r="H116" s="785">
        <f>+J95*G116+E116</f>
        <v>618378.20464444999</v>
      </c>
      <c r="I116" s="786">
        <f>+J96*G116+E116</f>
        <v>618378.20464444999</v>
      </c>
      <c r="J116" s="783">
        <f t="shared" si="5"/>
        <v>0</v>
      </c>
      <c r="K116" s="783"/>
      <c r="L116" s="803"/>
      <c r="M116" s="783">
        <f t="shared" si="6"/>
        <v>0</v>
      </c>
      <c r="N116" s="803"/>
      <c r="O116" s="783">
        <f t="shared" si="7"/>
        <v>0</v>
      </c>
      <c r="P116" s="783">
        <f t="shared" si="1"/>
        <v>0</v>
      </c>
    </row>
    <row r="117" spans="3:16">
      <c r="C117" s="779">
        <f>IF(D94="","-",+C116+1)</f>
        <v>2029</v>
      </c>
      <c r="D117" s="727">
        <f t="shared" si="2"/>
        <v>3686672.9277777723</v>
      </c>
      <c r="E117" s="780">
        <f t="shared" si="4"/>
        <v>184333.64638888888</v>
      </c>
      <c r="F117" s="780">
        <f t="shared" si="0"/>
        <v>3502339.2813888835</v>
      </c>
      <c r="G117" s="727">
        <f t="shared" si="3"/>
        <v>3594506.1045833277</v>
      </c>
      <c r="H117" s="785">
        <f>+J95*G117+E117</f>
        <v>597205.29936369089</v>
      </c>
      <c r="I117" s="786">
        <f>+J96*G117+E117</f>
        <v>597205.29936369089</v>
      </c>
      <c r="J117" s="783">
        <f t="shared" si="5"/>
        <v>0</v>
      </c>
      <c r="K117" s="783"/>
      <c r="L117" s="803"/>
      <c r="M117" s="783">
        <f t="shared" si="6"/>
        <v>0</v>
      </c>
      <c r="N117" s="803"/>
      <c r="O117" s="783">
        <f t="shared" si="7"/>
        <v>0</v>
      </c>
      <c r="P117" s="783">
        <f t="shared" si="1"/>
        <v>0</v>
      </c>
    </row>
    <row r="118" spans="3:16">
      <c r="C118" s="779">
        <f>IF(D94="","-",+C117+1)</f>
        <v>2030</v>
      </c>
      <c r="D118" s="727">
        <f t="shared" si="2"/>
        <v>3502339.2813888835</v>
      </c>
      <c r="E118" s="780">
        <f t="shared" si="4"/>
        <v>184333.64638888888</v>
      </c>
      <c r="F118" s="780">
        <f t="shared" si="0"/>
        <v>3318005.6349999947</v>
      </c>
      <c r="G118" s="727">
        <f t="shared" si="3"/>
        <v>3410172.4581944393</v>
      </c>
      <c r="H118" s="785">
        <f>+J95*G118+E118</f>
        <v>576032.3940829318</v>
      </c>
      <c r="I118" s="786">
        <f>+J96*G118+E118</f>
        <v>576032.3940829318</v>
      </c>
      <c r="J118" s="783">
        <f t="shared" si="5"/>
        <v>0</v>
      </c>
      <c r="K118" s="783"/>
      <c r="L118" s="803"/>
      <c r="M118" s="783">
        <f t="shared" si="6"/>
        <v>0</v>
      </c>
      <c r="N118" s="803"/>
      <c r="O118" s="783">
        <f t="shared" si="7"/>
        <v>0</v>
      </c>
      <c r="P118" s="783">
        <f t="shared" si="1"/>
        <v>0</v>
      </c>
    </row>
    <row r="119" spans="3:16">
      <c r="C119" s="779">
        <f>IF(D94="","-",+C118+1)</f>
        <v>2031</v>
      </c>
      <c r="D119" s="727">
        <f t="shared" si="2"/>
        <v>3318005.6349999947</v>
      </c>
      <c r="E119" s="780">
        <f t="shared" si="4"/>
        <v>184333.64638888888</v>
      </c>
      <c r="F119" s="780">
        <f t="shared" si="0"/>
        <v>3133671.9886111058</v>
      </c>
      <c r="G119" s="727">
        <f t="shared" si="3"/>
        <v>3225838.81180555</v>
      </c>
      <c r="H119" s="785">
        <f>+J95*G119+E119</f>
        <v>554859.48880217271</v>
      </c>
      <c r="I119" s="786">
        <f>+J96*G119+E119</f>
        <v>554859.48880217271</v>
      </c>
      <c r="J119" s="783">
        <f t="shared" si="5"/>
        <v>0</v>
      </c>
      <c r="K119" s="783"/>
      <c r="L119" s="803"/>
      <c r="M119" s="783">
        <f t="shared" si="6"/>
        <v>0</v>
      </c>
      <c r="N119" s="803"/>
      <c r="O119" s="783">
        <f t="shared" si="7"/>
        <v>0</v>
      </c>
      <c r="P119" s="783">
        <f t="shared" si="1"/>
        <v>0</v>
      </c>
    </row>
    <row r="120" spans="3:16">
      <c r="C120" s="779">
        <f>IF(D94="","-",+C119+1)</f>
        <v>2032</v>
      </c>
      <c r="D120" s="727">
        <f t="shared" si="2"/>
        <v>3133671.9886111058</v>
      </c>
      <c r="E120" s="780">
        <f t="shared" si="4"/>
        <v>184333.64638888888</v>
      </c>
      <c r="F120" s="780">
        <f t="shared" si="0"/>
        <v>2949338.342222217</v>
      </c>
      <c r="G120" s="727">
        <f t="shared" si="3"/>
        <v>3041505.1654166616</v>
      </c>
      <c r="H120" s="785">
        <f>+J95*G120+E120</f>
        <v>533686.58352141362</v>
      </c>
      <c r="I120" s="786">
        <f>+J96*G120+E120</f>
        <v>533686.58352141362</v>
      </c>
      <c r="J120" s="783">
        <f t="shared" si="5"/>
        <v>0</v>
      </c>
      <c r="K120" s="783"/>
      <c r="L120" s="803"/>
      <c r="M120" s="783">
        <f t="shared" si="6"/>
        <v>0</v>
      </c>
      <c r="N120" s="803"/>
      <c r="O120" s="783">
        <f t="shared" si="7"/>
        <v>0</v>
      </c>
      <c r="P120" s="783">
        <f t="shared" si="1"/>
        <v>0</v>
      </c>
    </row>
    <row r="121" spans="3:16">
      <c r="C121" s="779">
        <f>IF(D94="","-",+C120+1)</f>
        <v>2033</v>
      </c>
      <c r="D121" s="727">
        <f t="shared" si="2"/>
        <v>2949338.342222217</v>
      </c>
      <c r="E121" s="780">
        <f t="shared" si="4"/>
        <v>184333.64638888888</v>
      </c>
      <c r="F121" s="780">
        <f t="shared" si="0"/>
        <v>2765004.6958333282</v>
      </c>
      <c r="G121" s="727">
        <f t="shared" si="3"/>
        <v>2857171.5190277724</v>
      </c>
      <c r="H121" s="785">
        <f>+J95*G121+E121</f>
        <v>512513.67824065447</v>
      </c>
      <c r="I121" s="786">
        <f>+J96*G121+E121</f>
        <v>512513.67824065447</v>
      </c>
      <c r="J121" s="783">
        <f t="shared" si="5"/>
        <v>0</v>
      </c>
      <c r="K121" s="783"/>
      <c r="L121" s="803"/>
      <c r="M121" s="783">
        <f t="shared" si="6"/>
        <v>0</v>
      </c>
      <c r="N121" s="803"/>
      <c r="O121" s="783">
        <f t="shared" si="7"/>
        <v>0</v>
      </c>
      <c r="P121" s="783">
        <f t="shared" si="1"/>
        <v>0</v>
      </c>
    </row>
    <row r="122" spans="3:16">
      <c r="C122" s="779">
        <f>IF(D94="","-",+C121+1)</f>
        <v>2034</v>
      </c>
      <c r="D122" s="727">
        <f t="shared" si="2"/>
        <v>2765004.6958333282</v>
      </c>
      <c r="E122" s="780">
        <f t="shared" si="4"/>
        <v>184333.64638888888</v>
      </c>
      <c r="F122" s="780">
        <f t="shared" si="0"/>
        <v>2580671.0494444394</v>
      </c>
      <c r="G122" s="727">
        <f t="shared" si="3"/>
        <v>2672837.872638884</v>
      </c>
      <c r="H122" s="785">
        <f>+J95*G122+E122</f>
        <v>491340.77295989537</v>
      </c>
      <c r="I122" s="786">
        <f>+J96*G122+E122</f>
        <v>491340.77295989537</v>
      </c>
      <c r="J122" s="783">
        <f t="shared" si="5"/>
        <v>0</v>
      </c>
      <c r="K122" s="783"/>
      <c r="L122" s="803"/>
      <c r="M122" s="783">
        <f t="shared" si="6"/>
        <v>0</v>
      </c>
      <c r="N122" s="803"/>
      <c r="O122" s="783">
        <f t="shared" si="7"/>
        <v>0</v>
      </c>
      <c r="P122" s="783">
        <f t="shared" si="1"/>
        <v>0</v>
      </c>
    </row>
    <row r="123" spans="3:16">
      <c r="C123" s="779">
        <f>IF(D94="","-",+C122+1)</f>
        <v>2035</v>
      </c>
      <c r="D123" s="727">
        <f t="shared" si="2"/>
        <v>2580671.0494444394</v>
      </c>
      <c r="E123" s="780">
        <f t="shared" si="4"/>
        <v>184333.64638888888</v>
      </c>
      <c r="F123" s="780">
        <f t="shared" si="0"/>
        <v>2396337.4030555505</v>
      </c>
      <c r="G123" s="727">
        <f t="shared" si="3"/>
        <v>2488504.2262499947</v>
      </c>
      <c r="H123" s="785">
        <f>+J95*G123+E123</f>
        <v>470167.86767913622</v>
      </c>
      <c r="I123" s="786">
        <f>+J96*G123+E123</f>
        <v>470167.86767913622</v>
      </c>
      <c r="J123" s="783">
        <f t="shared" si="5"/>
        <v>0</v>
      </c>
      <c r="K123" s="783"/>
      <c r="L123" s="803"/>
      <c r="M123" s="783">
        <f t="shared" si="6"/>
        <v>0</v>
      </c>
      <c r="N123" s="803"/>
      <c r="O123" s="783">
        <f t="shared" si="7"/>
        <v>0</v>
      </c>
      <c r="P123" s="783">
        <f t="shared" si="1"/>
        <v>0</v>
      </c>
    </row>
    <row r="124" spans="3:16">
      <c r="C124" s="779">
        <f>IF(D94="","-",+C123+1)</f>
        <v>2036</v>
      </c>
      <c r="D124" s="727">
        <f t="shared" si="2"/>
        <v>2396337.4030555505</v>
      </c>
      <c r="E124" s="780">
        <f t="shared" si="4"/>
        <v>184333.64638888888</v>
      </c>
      <c r="F124" s="780">
        <f t="shared" si="0"/>
        <v>2212003.7566666617</v>
      </c>
      <c r="G124" s="727">
        <f t="shared" si="3"/>
        <v>2304170.5798611064</v>
      </c>
      <c r="H124" s="785">
        <f>+J95*G124+E124</f>
        <v>448994.96239837719</v>
      </c>
      <c r="I124" s="786">
        <f>+J96*G124+E124</f>
        <v>448994.96239837719</v>
      </c>
      <c r="J124" s="783">
        <f t="shared" si="5"/>
        <v>0</v>
      </c>
      <c r="K124" s="783"/>
      <c r="L124" s="803"/>
      <c r="M124" s="783">
        <f t="shared" si="6"/>
        <v>0</v>
      </c>
      <c r="N124" s="803"/>
      <c r="O124" s="783">
        <f t="shared" si="7"/>
        <v>0</v>
      </c>
      <c r="P124" s="783">
        <f t="shared" si="1"/>
        <v>0</v>
      </c>
    </row>
    <row r="125" spans="3:16">
      <c r="C125" s="779">
        <f>IF(D94="","-",+C124+1)</f>
        <v>2037</v>
      </c>
      <c r="D125" s="727">
        <f t="shared" si="2"/>
        <v>2212003.7566666617</v>
      </c>
      <c r="E125" s="780">
        <f t="shared" si="4"/>
        <v>184333.64638888888</v>
      </c>
      <c r="F125" s="780">
        <f t="shared" si="0"/>
        <v>2027670.1102777729</v>
      </c>
      <c r="G125" s="727">
        <f t="shared" si="3"/>
        <v>2119836.9334722171</v>
      </c>
      <c r="H125" s="785">
        <f>+J95*G125+E125</f>
        <v>427822.05711761804</v>
      </c>
      <c r="I125" s="786">
        <f>+J96*G125+E125</f>
        <v>427822.05711761804</v>
      </c>
      <c r="J125" s="783">
        <f t="shared" si="5"/>
        <v>0</v>
      </c>
      <c r="K125" s="783"/>
      <c r="L125" s="803"/>
      <c r="M125" s="783">
        <f t="shared" si="6"/>
        <v>0</v>
      </c>
      <c r="N125" s="803"/>
      <c r="O125" s="783">
        <f t="shared" si="7"/>
        <v>0</v>
      </c>
      <c r="P125" s="783">
        <f t="shared" si="1"/>
        <v>0</v>
      </c>
    </row>
    <row r="126" spans="3:16">
      <c r="C126" s="779">
        <f>IF(D94="","-",+C125+1)</f>
        <v>2038</v>
      </c>
      <c r="D126" s="727">
        <f t="shared" si="2"/>
        <v>2027670.1102777729</v>
      </c>
      <c r="E126" s="780">
        <f t="shared" si="4"/>
        <v>184333.64638888888</v>
      </c>
      <c r="F126" s="780">
        <f t="shared" si="0"/>
        <v>1843336.4638888841</v>
      </c>
      <c r="G126" s="727">
        <f t="shared" si="3"/>
        <v>1935503.2870833285</v>
      </c>
      <c r="H126" s="785">
        <f>+J95*G126+E126</f>
        <v>406649.15183685895</v>
      </c>
      <c r="I126" s="786">
        <f>+J96*G126+E126</f>
        <v>406649.15183685895</v>
      </c>
      <c r="J126" s="783">
        <f t="shared" si="5"/>
        <v>0</v>
      </c>
      <c r="K126" s="783"/>
      <c r="L126" s="803"/>
      <c r="M126" s="783">
        <f t="shared" si="6"/>
        <v>0</v>
      </c>
      <c r="N126" s="803"/>
      <c r="O126" s="783">
        <f t="shared" si="7"/>
        <v>0</v>
      </c>
      <c r="P126" s="783">
        <f t="shared" si="1"/>
        <v>0</v>
      </c>
    </row>
    <row r="127" spans="3:16">
      <c r="C127" s="779">
        <f>IF(D94="","-",+C126+1)</f>
        <v>2039</v>
      </c>
      <c r="D127" s="727">
        <f t="shared" si="2"/>
        <v>1843336.4638888841</v>
      </c>
      <c r="E127" s="780">
        <f t="shared" si="4"/>
        <v>184333.64638888888</v>
      </c>
      <c r="F127" s="780">
        <f t="shared" si="0"/>
        <v>1659002.8174999952</v>
      </c>
      <c r="G127" s="727">
        <f t="shared" si="3"/>
        <v>1751169.6406944396</v>
      </c>
      <c r="H127" s="785">
        <f>+J95*G127+E127</f>
        <v>385476.24655609985</v>
      </c>
      <c r="I127" s="786">
        <f>+J96*G127+E127</f>
        <v>385476.24655609985</v>
      </c>
      <c r="J127" s="783">
        <f t="shared" si="5"/>
        <v>0</v>
      </c>
      <c r="K127" s="783"/>
      <c r="L127" s="803"/>
      <c r="M127" s="783">
        <f t="shared" si="6"/>
        <v>0</v>
      </c>
      <c r="N127" s="803"/>
      <c r="O127" s="783">
        <f t="shared" si="7"/>
        <v>0</v>
      </c>
      <c r="P127" s="783">
        <f t="shared" si="1"/>
        <v>0</v>
      </c>
    </row>
    <row r="128" spans="3:16">
      <c r="C128" s="779">
        <f>IF(D94="","-",+C127+1)</f>
        <v>2040</v>
      </c>
      <c r="D128" s="727">
        <f t="shared" si="2"/>
        <v>1659002.8174999952</v>
      </c>
      <c r="E128" s="780">
        <f t="shared" si="4"/>
        <v>184333.64638888888</v>
      </c>
      <c r="F128" s="780">
        <f t="shared" si="0"/>
        <v>1474669.1711111064</v>
      </c>
      <c r="G128" s="727">
        <f t="shared" si="3"/>
        <v>1566835.9943055508</v>
      </c>
      <c r="H128" s="785">
        <f>+J95*G128+E128</f>
        <v>364303.34127534076</v>
      </c>
      <c r="I128" s="786">
        <f>+J96*G128+E128</f>
        <v>364303.34127534076</v>
      </c>
      <c r="J128" s="783">
        <f t="shared" si="5"/>
        <v>0</v>
      </c>
      <c r="K128" s="783"/>
      <c r="L128" s="803"/>
      <c r="M128" s="783">
        <f t="shared" si="6"/>
        <v>0</v>
      </c>
      <c r="N128" s="803"/>
      <c r="O128" s="783">
        <f t="shared" si="7"/>
        <v>0</v>
      </c>
      <c r="P128" s="783">
        <f t="shared" si="1"/>
        <v>0</v>
      </c>
    </row>
    <row r="129" spans="3:16">
      <c r="C129" s="779">
        <f>IF(D94="","-",+C128+1)</f>
        <v>2041</v>
      </c>
      <c r="D129" s="727">
        <f t="shared" si="2"/>
        <v>1474669.1711111064</v>
      </c>
      <c r="E129" s="780">
        <f t="shared" si="4"/>
        <v>184333.64638888888</v>
      </c>
      <c r="F129" s="780">
        <f t="shared" si="0"/>
        <v>1290335.5247222176</v>
      </c>
      <c r="G129" s="727">
        <f t="shared" si="3"/>
        <v>1382502.347916662</v>
      </c>
      <c r="H129" s="785">
        <f>+J95*G129+E129</f>
        <v>343130.43599458167</v>
      </c>
      <c r="I129" s="786">
        <f>+J96*G129+E129</f>
        <v>343130.43599458167</v>
      </c>
      <c r="J129" s="783">
        <f t="shared" si="5"/>
        <v>0</v>
      </c>
      <c r="K129" s="783"/>
      <c r="L129" s="803"/>
      <c r="M129" s="783">
        <f t="shared" si="6"/>
        <v>0</v>
      </c>
      <c r="N129" s="803"/>
      <c r="O129" s="783">
        <f t="shared" si="7"/>
        <v>0</v>
      </c>
      <c r="P129" s="783">
        <f t="shared" si="1"/>
        <v>0</v>
      </c>
    </row>
    <row r="130" spans="3:16">
      <c r="C130" s="779">
        <f>IF(D94="","-",+C129+1)</f>
        <v>2042</v>
      </c>
      <c r="D130" s="727">
        <f t="shared" si="2"/>
        <v>1290335.5247222176</v>
      </c>
      <c r="E130" s="780">
        <f t="shared" si="4"/>
        <v>184333.64638888888</v>
      </c>
      <c r="F130" s="780">
        <f t="shared" si="0"/>
        <v>1106001.8783333288</v>
      </c>
      <c r="G130" s="727">
        <f t="shared" si="3"/>
        <v>1198168.7015277732</v>
      </c>
      <c r="H130" s="785">
        <f>+J95*G130+E130</f>
        <v>321957.53071382258</v>
      </c>
      <c r="I130" s="786">
        <f>+J96*G130+E130</f>
        <v>321957.53071382258</v>
      </c>
      <c r="J130" s="783">
        <f t="shared" si="5"/>
        <v>0</v>
      </c>
      <c r="K130" s="783"/>
      <c r="L130" s="803"/>
      <c r="M130" s="783">
        <f t="shared" si="6"/>
        <v>0</v>
      </c>
      <c r="N130" s="803"/>
      <c r="O130" s="783">
        <f t="shared" si="7"/>
        <v>0</v>
      </c>
      <c r="P130" s="783">
        <f t="shared" si="1"/>
        <v>0</v>
      </c>
    </row>
    <row r="131" spans="3:16">
      <c r="C131" s="779">
        <f>IF(D94="","-",+C130+1)</f>
        <v>2043</v>
      </c>
      <c r="D131" s="727">
        <f t="shared" si="2"/>
        <v>1106001.8783333288</v>
      </c>
      <c r="E131" s="780">
        <f t="shared" si="4"/>
        <v>184333.64638888888</v>
      </c>
      <c r="F131" s="780">
        <f t="shared" si="0"/>
        <v>921668.23194443993</v>
      </c>
      <c r="G131" s="727">
        <f t="shared" si="3"/>
        <v>1013835.0551388843</v>
      </c>
      <c r="H131" s="785">
        <f>+J95*G131+E131</f>
        <v>300784.62543306348</v>
      </c>
      <c r="I131" s="786">
        <f>+J96*G131+E131</f>
        <v>300784.62543306348</v>
      </c>
      <c r="J131" s="783">
        <f t="shared" si="5"/>
        <v>0</v>
      </c>
      <c r="K131" s="783"/>
      <c r="L131" s="803"/>
      <c r="M131" s="783">
        <f t="shared" si="6"/>
        <v>0</v>
      </c>
      <c r="N131" s="803"/>
      <c r="O131" s="783">
        <f t="shared" si="7"/>
        <v>0</v>
      </c>
      <c r="P131" s="783">
        <f t="shared" si="1"/>
        <v>0</v>
      </c>
    </row>
    <row r="132" spans="3:16">
      <c r="C132" s="779">
        <f>IF(D94="","-",+C131+1)</f>
        <v>2044</v>
      </c>
      <c r="D132" s="727">
        <f t="shared" si="2"/>
        <v>921668.23194443993</v>
      </c>
      <c r="E132" s="780">
        <f t="shared" si="4"/>
        <v>184333.64638888888</v>
      </c>
      <c r="F132" s="780">
        <f t="shared" si="0"/>
        <v>737334.58555555111</v>
      </c>
      <c r="G132" s="727">
        <f t="shared" si="3"/>
        <v>829501.40874999552</v>
      </c>
      <c r="H132" s="785">
        <f>+J95*G132+E132</f>
        <v>279611.72015230439</v>
      </c>
      <c r="I132" s="786">
        <f>+J96*G132+E132</f>
        <v>279611.72015230439</v>
      </c>
      <c r="J132" s="783">
        <f t="shared" si="5"/>
        <v>0</v>
      </c>
      <c r="K132" s="783"/>
      <c r="L132" s="803"/>
      <c r="M132" s="783">
        <f t="shared" si="6"/>
        <v>0</v>
      </c>
      <c r="N132" s="803"/>
      <c r="O132" s="783">
        <f t="shared" si="7"/>
        <v>0</v>
      </c>
      <c r="P132" s="783">
        <f t="shared" si="1"/>
        <v>0</v>
      </c>
    </row>
    <row r="133" spans="3:16">
      <c r="C133" s="779">
        <f>IF(D94="","-",+C132+1)</f>
        <v>2045</v>
      </c>
      <c r="D133" s="727">
        <f t="shared" si="2"/>
        <v>737334.58555555111</v>
      </c>
      <c r="E133" s="780">
        <f t="shared" si="4"/>
        <v>184333.64638888888</v>
      </c>
      <c r="F133" s="780">
        <f t="shared" si="0"/>
        <v>553000.93916666228</v>
      </c>
      <c r="G133" s="727">
        <f t="shared" si="3"/>
        <v>645167.7623611067</v>
      </c>
      <c r="H133" s="785">
        <f>+J95*G133+E133</f>
        <v>258438.81487154524</v>
      </c>
      <c r="I133" s="786">
        <f>+J96*G133+E133</f>
        <v>258438.81487154524</v>
      </c>
      <c r="J133" s="783">
        <f t="shared" si="5"/>
        <v>0</v>
      </c>
      <c r="K133" s="783"/>
      <c r="L133" s="803"/>
      <c r="M133" s="783">
        <f t="shared" si="6"/>
        <v>0</v>
      </c>
      <c r="N133" s="803"/>
      <c r="O133" s="783">
        <f t="shared" si="7"/>
        <v>0</v>
      </c>
      <c r="P133" s="783">
        <f t="shared" si="1"/>
        <v>0</v>
      </c>
    </row>
    <row r="134" spans="3:16">
      <c r="C134" s="779">
        <f>IF(D94="","-",+C133+1)</f>
        <v>2046</v>
      </c>
      <c r="D134" s="727">
        <f t="shared" si="2"/>
        <v>553000.93916666228</v>
      </c>
      <c r="E134" s="780">
        <f t="shared" si="4"/>
        <v>184333.64638888888</v>
      </c>
      <c r="F134" s="780">
        <f t="shared" si="0"/>
        <v>368667.2927777734</v>
      </c>
      <c r="G134" s="727">
        <f t="shared" si="3"/>
        <v>460834.11597221787</v>
      </c>
      <c r="H134" s="785">
        <f>+J95*G134+E134</f>
        <v>237265.90959078615</v>
      </c>
      <c r="I134" s="786">
        <f>+J96*G134+E134</f>
        <v>237265.90959078615</v>
      </c>
      <c r="J134" s="783">
        <f t="shared" si="5"/>
        <v>0</v>
      </c>
      <c r="K134" s="783"/>
      <c r="L134" s="803"/>
      <c r="M134" s="783">
        <f t="shared" si="6"/>
        <v>0</v>
      </c>
      <c r="N134" s="803"/>
      <c r="O134" s="783">
        <f t="shared" si="7"/>
        <v>0</v>
      </c>
      <c r="P134" s="783">
        <f t="shared" si="1"/>
        <v>0</v>
      </c>
    </row>
    <row r="135" spans="3:16">
      <c r="C135" s="779">
        <f>IF(D94="","-",+C134+1)</f>
        <v>2047</v>
      </c>
      <c r="D135" s="727">
        <f t="shared" si="2"/>
        <v>368667.2927777734</v>
      </c>
      <c r="E135" s="780">
        <f t="shared" si="4"/>
        <v>184333.64638888888</v>
      </c>
      <c r="F135" s="780">
        <f t="shared" si="0"/>
        <v>184333.64638888452</v>
      </c>
      <c r="G135" s="727">
        <f t="shared" si="3"/>
        <v>276500.46958332893</v>
      </c>
      <c r="H135" s="785">
        <f>+J95*G135+E135</f>
        <v>216093.00431002703</v>
      </c>
      <c r="I135" s="786">
        <f>+J96*G135+E135</f>
        <v>216093.00431002703</v>
      </c>
      <c r="J135" s="783">
        <f t="shared" si="5"/>
        <v>0</v>
      </c>
      <c r="K135" s="783"/>
      <c r="L135" s="803"/>
      <c r="M135" s="783">
        <f t="shared" si="6"/>
        <v>0</v>
      </c>
      <c r="N135" s="803"/>
      <c r="O135" s="783">
        <f t="shared" si="7"/>
        <v>0</v>
      </c>
      <c r="P135" s="783">
        <f t="shared" si="1"/>
        <v>0</v>
      </c>
    </row>
    <row r="136" spans="3:16">
      <c r="C136" s="779">
        <f>IF(D94="","-",+C135+1)</f>
        <v>2048</v>
      </c>
      <c r="D136" s="727">
        <f t="shared" si="2"/>
        <v>184333.64638888452</v>
      </c>
      <c r="E136" s="780">
        <f t="shared" si="4"/>
        <v>184333.64638888452</v>
      </c>
      <c r="F136" s="780">
        <f t="shared" si="0"/>
        <v>0</v>
      </c>
      <c r="G136" s="727">
        <f t="shared" si="3"/>
        <v>92166.823194442259</v>
      </c>
      <c r="H136" s="785">
        <f>+J95*G136+E136</f>
        <v>194920.09902926383</v>
      </c>
      <c r="I136" s="786">
        <f>+J96*G136+E136</f>
        <v>194920.09902926383</v>
      </c>
      <c r="J136" s="783">
        <f t="shared" si="5"/>
        <v>0</v>
      </c>
      <c r="K136" s="783"/>
      <c r="L136" s="803"/>
      <c r="M136" s="783">
        <f t="shared" si="6"/>
        <v>0</v>
      </c>
      <c r="N136" s="803"/>
      <c r="O136" s="783">
        <f t="shared" si="7"/>
        <v>0</v>
      </c>
      <c r="P136" s="783">
        <f t="shared" si="1"/>
        <v>0</v>
      </c>
    </row>
    <row r="137" spans="3:16">
      <c r="C137" s="779">
        <f>IF(D94="","-",+C136+1)</f>
        <v>2049</v>
      </c>
      <c r="D137" s="727">
        <f t="shared" si="2"/>
        <v>0</v>
      </c>
      <c r="E137" s="780">
        <f t="shared" si="4"/>
        <v>0</v>
      </c>
      <c r="F137" s="780">
        <f t="shared" si="0"/>
        <v>0</v>
      </c>
      <c r="G137" s="727">
        <f t="shared" si="3"/>
        <v>0</v>
      </c>
      <c r="H137" s="785">
        <f>+J95*G137+E137</f>
        <v>0</v>
      </c>
      <c r="I137" s="786">
        <f>+J96*G137+E137</f>
        <v>0</v>
      </c>
      <c r="J137" s="783">
        <f t="shared" si="5"/>
        <v>0</v>
      </c>
      <c r="K137" s="783"/>
      <c r="L137" s="803"/>
      <c r="M137" s="783">
        <f t="shared" si="6"/>
        <v>0</v>
      </c>
      <c r="N137" s="803"/>
      <c r="O137" s="783">
        <f t="shared" si="7"/>
        <v>0</v>
      </c>
      <c r="P137" s="783">
        <f t="shared" si="1"/>
        <v>0</v>
      </c>
    </row>
    <row r="138" spans="3:16">
      <c r="C138" s="779">
        <f>IF(D94="","-",+C137+1)</f>
        <v>2050</v>
      </c>
      <c r="D138" s="727">
        <f t="shared" si="2"/>
        <v>0</v>
      </c>
      <c r="E138" s="780">
        <f t="shared" si="4"/>
        <v>0</v>
      </c>
      <c r="F138" s="780">
        <f t="shared" si="0"/>
        <v>0</v>
      </c>
      <c r="G138" s="727">
        <f t="shared" si="3"/>
        <v>0</v>
      </c>
      <c r="H138" s="785">
        <f>+J95*G138+E138</f>
        <v>0</v>
      </c>
      <c r="I138" s="786">
        <f>+J96*G138+E138</f>
        <v>0</v>
      </c>
      <c r="J138" s="783">
        <f t="shared" si="5"/>
        <v>0</v>
      </c>
      <c r="K138" s="783"/>
      <c r="L138" s="803"/>
      <c r="M138" s="783">
        <f t="shared" si="6"/>
        <v>0</v>
      </c>
      <c r="N138" s="803"/>
      <c r="O138" s="783">
        <f t="shared" si="7"/>
        <v>0</v>
      </c>
      <c r="P138" s="783">
        <f t="shared" si="1"/>
        <v>0</v>
      </c>
    </row>
    <row r="139" spans="3:16">
      <c r="C139" s="779">
        <f>IF(D94="","-",+C138+1)</f>
        <v>2051</v>
      </c>
      <c r="D139" s="727">
        <f t="shared" si="2"/>
        <v>0</v>
      </c>
      <c r="E139" s="780">
        <f t="shared" si="4"/>
        <v>0</v>
      </c>
      <c r="F139" s="780">
        <f t="shared" si="0"/>
        <v>0</v>
      </c>
      <c r="G139" s="727">
        <f t="shared" si="3"/>
        <v>0</v>
      </c>
      <c r="H139" s="785">
        <f>+J95*G139+E139</f>
        <v>0</v>
      </c>
      <c r="I139" s="786">
        <f>+J96*G139+E139</f>
        <v>0</v>
      </c>
      <c r="J139" s="783">
        <f t="shared" si="5"/>
        <v>0</v>
      </c>
      <c r="K139" s="783"/>
      <c r="L139" s="803"/>
      <c r="M139" s="783">
        <f t="shared" si="6"/>
        <v>0</v>
      </c>
      <c r="N139" s="803"/>
      <c r="O139" s="783">
        <f t="shared" si="7"/>
        <v>0</v>
      </c>
      <c r="P139" s="783">
        <f t="shared" si="1"/>
        <v>0</v>
      </c>
    </row>
    <row r="140" spans="3:16">
      <c r="C140" s="779">
        <f>IF(D94="","-",+C139+1)</f>
        <v>2052</v>
      </c>
      <c r="D140" s="727">
        <f t="shared" si="2"/>
        <v>0</v>
      </c>
      <c r="E140" s="780">
        <f t="shared" si="4"/>
        <v>0</v>
      </c>
      <c r="F140" s="780">
        <f t="shared" si="0"/>
        <v>0</v>
      </c>
      <c r="G140" s="727">
        <f t="shared" si="3"/>
        <v>0</v>
      </c>
      <c r="H140" s="785">
        <f>+J95*G140+E140</f>
        <v>0</v>
      </c>
      <c r="I140" s="786">
        <f>+J96*G140+E140</f>
        <v>0</v>
      </c>
      <c r="J140" s="783">
        <f t="shared" si="5"/>
        <v>0</v>
      </c>
      <c r="K140" s="783"/>
      <c r="L140" s="803"/>
      <c r="M140" s="783">
        <f t="shared" si="6"/>
        <v>0</v>
      </c>
      <c r="N140" s="803"/>
      <c r="O140" s="783">
        <f t="shared" si="7"/>
        <v>0</v>
      </c>
      <c r="P140" s="783">
        <f t="shared" si="1"/>
        <v>0</v>
      </c>
    </row>
    <row r="141" spans="3:16">
      <c r="C141" s="779">
        <f>IF(D94="","-",+C140+1)</f>
        <v>2053</v>
      </c>
      <c r="D141" s="727">
        <f t="shared" si="2"/>
        <v>0</v>
      </c>
      <c r="E141" s="780">
        <f t="shared" si="4"/>
        <v>0</v>
      </c>
      <c r="F141" s="780">
        <f t="shared" si="0"/>
        <v>0</v>
      </c>
      <c r="G141" s="727">
        <f t="shared" si="3"/>
        <v>0</v>
      </c>
      <c r="H141" s="785">
        <f>+J95*G141+E141</f>
        <v>0</v>
      </c>
      <c r="I141" s="786">
        <f>+J96*G141+E141</f>
        <v>0</v>
      </c>
      <c r="J141" s="783">
        <f t="shared" si="5"/>
        <v>0</v>
      </c>
      <c r="K141" s="783"/>
      <c r="L141" s="803"/>
      <c r="M141" s="783">
        <f t="shared" si="6"/>
        <v>0</v>
      </c>
      <c r="N141" s="803"/>
      <c r="O141" s="783">
        <f t="shared" si="7"/>
        <v>0</v>
      </c>
      <c r="P141" s="783">
        <f t="shared" si="1"/>
        <v>0</v>
      </c>
    </row>
    <row r="142" spans="3:16">
      <c r="C142" s="779">
        <f>IF(D94="","-",+C141+1)</f>
        <v>2054</v>
      </c>
      <c r="D142" s="727">
        <f t="shared" si="2"/>
        <v>0</v>
      </c>
      <c r="E142" s="780">
        <f t="shared" si="4"/>
        <v>0</v>
      </c>
      <c r="F142" s="780">
        <f t="shared" si="0"/>
        <v>0</v>
      </c>
      <c r="G142" s="727">
        <f t="shared" si="3"/>
        <v>0</v>
      </c>
      <c r="H142" s="785">
        <f>+J95*G142+E142</f>
        <v>0</v>
      </c>
      <c r="I142" s="786">
        <f>+J96*G142+E142</f>
        <v>0</v>
      </c>
      <c r="J142" s="783">
        <f t="shared" si="5"/>
        <v>0</v>
      </c>
      <c r="K142" s="783"/>
      <c r="L142" s="803"/>
      <c r="M142" s="783">
        <f t="shared" si="6"/>
        <v>0</v>
      </c>
      <c r="N142" s="803"/>
      <c r="O142" s="783">
        <f t="shared" si="7"/>
        <v>0</v>
      </c>
      <c r="P142" s="783">
        <f t="shared" si="1"/>
        <v>0</v>
      </c>
    </row>
    <row r="143" spans="3:16">
      <c r="C143" s="779">
        <f>IF(D94="","-",+C142+1)</f>
        <v>2055</v>
      </c>
      <c r="D143" s="727">
        <f t="shared" si="2"/>
        <v>0</v>
      </c>
      <c r="E143" s="780">
        <f t="shared" si="4"/>
        <v>0</v>
      </c>
      <c r="F143" s="780">
        <f t="shared" si="0"/>
        <v>0</v>
      </c>
      <c r="G143" s="727">
        <f t="shared" si="3"/>
        <v>0</v>
      </c>
      <c r="H143" s="785">
        <f>+J95*G143+E143</f>
        <v>0</v>
      </c>
      <c r="I143" s="786">
        <f>+J96*G143+E143</f>
        <v>0</v>
      </c>
      <c r="J143" s="783">
        <f t="shared" si="5"/>
        <v>0</v>
      </c>
      <c r="K143" s="783"/>
      <c r="L143" s="803"/>
      <c r="M143" s="783">
        <f t="shared" si="6"/>
        <v>0</v>
      </c>
      <c r="N143" s="803"/>
      <c r="O143" s="783">
        <f t="shared" si="7"/>
        <v>0</v>
      </c>
      <c r="P143" s="783">
        <f t="shared" si="1"/>
        <v>0</v>
      </c>
    </row>
    <row r="144" spans="3:16">
      <c r="C144" s="779">
        <f>IF(D94="","-",+C143+1)</f>
        <v>2056</v>
      </c>
      <c r="D144" s="727">
        <f t="shared" si="2"/>
        <v>0</v>
      </c>
      <c r="E144" s="780">
        <f t="shared" si="4"/>
        <v>0</v>
      </c>
      <c r="F144" s="780">
        <f t="shared" si="0"/>
        <v>0</v>
      </c>
      <c r="G144" s="727">
        <f t="shared" si="3"/>
        <v>0</v>
      </c>
      <c r="H144" s="785">
        <f>+J95*G144+E144</f>
        <v>0</v>
      </c>
      <c r="I144" s="786">
        <f>+J96*G144+E144</f>
        <v>0</v>
      </c>
      <c r="J144" s="783">
        <f t="shared" si="5"/>
        <v>0</v>
      </c>
      <c r="K144" s="783"/>
      <c r="L144" s="803"/>
      <c r="M144" s="783">
        <f t="shared" si="6"/>
        <v>0</v>
      </c>
      <c r="N144" s="803"/>
      <c r="O144" s="783">
        <f t="shared" si="7"/>
        <v>0</v>
      </c>
      <c r="P144" s="783">
        <f t="shared" si="1"/>
        <v>0</v>
      </c>
    </row>
    <row r="145" spans="3:16">
      <c r="C145" s="779">
        <f>IF(D94="","-",+C144+1)</f>
        <v>2057</v>
      </c>
      <c r="D145" s="727">
        <f t="shared" si="2"/>
        <v>0</v>
      </c>
      <c r="E145" s="780">
        <f t="shared" si="4"/>
        <v>0</v>
      </c>
      <c r="F145" s="780">
        <f t="shared" si="0"/>
        <v>0</v>
      </c>
      <c r="G145" s="727">
        <f t="shared" si="3"/>
        <v>0</v>
      </c>
      <c r="H145" s="785">
        <f>+J95*G145+E145</f>
        <v>0</v>
      </c>
      <c r="I145" s="786">
        <f>+J96*G145+E145</f>
        <v>0</v>
      </c>
      <c r="J145" s="783">
        <f t="shared" si="5"/>
        <v>0</v>
      </c>
      <c r="K145" s="783"/>
      <c r="L145" s="803"/>
      <c r="M145" s="783">
        <f t="shared" si="6"/>
        <v>0</v>
      </c>
      <c r="N145" s="803"/>
      <c r="O145" s="783">
        <f t="shared" si="7"/>
        <v>0</v>
      </c>
      <c r="P145" s="783">
        <f t="shared" si="1"/>
        <v>0</v>
      </c>
    </row>
    <row r="146" spans="3:16">
      <c r="C146" s="779">
        <f>IF(D94="","-",+C145+1)</f>
        <v>2058</v>
      </c>
      <c r="D146" s="727">
        <f t="shared" si="2"/>
        <v>0</v>
      </c>
      <c r="E146" s="780">
        <f t="shared" si="4"/>
        <v>0</v>
      </c>
      <c r="F146" s="780">
        <f t="shared" si="0"/>
        <v>0</v>
      </c>
      <c r="G146" s="727">
        <f t="shared" si="3"/>
        <v>0</v>
      </c>
      <c r="H146" s="785">
        <f>+J95*G146+E146</f>
        <v>0</v>
      </c>
      <c r="I146" s="786">
        <f>+J96*G146+E146</f>
        <v>0</v>
      </c>
      <c r="J146" s="783">
        <f t="shared" si="5"/>
        <v>0</v>
      </c>
      <c r="K146" s="783"/>
      <c r="L146" s="803"/>
      <c r="M146" s="783">
        <f t="shared" si="6"/>
        <v>0</v>
      </c>
      <c r="N146" s="803"/>
      <c r="O146" s="783">
        <f t="shared" si="7"/>
        <v>0</v>
      </c>
      <c r="P146" s="783">
        <f t="shared" si="1"/>
        <v>0</v>
      </c>
    </row>
    <row r="147" spans="3:16">
      <c r="C147" s="779">
        <f>IF(D94="","-",+C146+1)</f>
        <v>2059</v>
      </c>
      <c r="D147" s="727">
        <f t="shared" si="2"/>
        <v>0</v>
      </c>
      <c r="E147" s="780">
        <f t="shared" si="4"/>
        <v>0</v>
      </c>
      <c r="F147" s="780">
        <f t="shared" si="0"/>
        <v>0</v>
      </c>
      <c r="G147" s="727">
        <f t="shared" si="3"/>
        <v>0</v>
      </c>
      <c r="H147" s="785">
        <f>+J95*G147+E147</f>
        <v>0</v>
      </c>
      <c r="I147" s="786">
        <f>+J96*G147+E147</f>
        <v>0</v>
      </c>
      <c r="J147" s="783">
        <f t="shared" si="5"/>
        <v>0</v>
      </c>
      <c r="K147" s="783"/>
      <c r="L147" s="803"/>
      <c r="M147" s="783">
        <f t="shared" si="6"/>
        <v>0</v>
      </c>
      <c r="N147" s="803"/>
      <c r="O147" s="783">
        <f t="shared" si="7"/>
        <v>0</v>
      </c>
      <c r="P147" s="783">
        <f t="shared" si="1"/>
        <v>0</v>
      </c>
    </row>
    <row r="148" spans="3:16">
      <c r="C148" s="779">
        <f>IF(D94="","-",+C147+1)</f>
        <v>2060</v>
      </c>
      <c r="D148" s="727">
        <f t="shared" si="2"/>
        <v>0</v>
      </c>
      <c r="E148" s="780">
        <f t="shared" si="4"/>
        <v>0</v>
      </c>
      <c r="F148" s="780">
        <f t="shared" si="0"/>
        <v>0</v>
      </c>
      <c r="G148" s="727">
        <f t="shared" si="3"/>
        <v>0</v>
      </c>
      <c r="H148" s="785">
        <f>+J95*G148+E148</f>
        <v>0</v>
      </c>
      <c r="I148" s="786">
        <f>+J96*G148+E148</f>
        <v>0</v>
      </c>
      <c r="J148" s="783">
        <f t="shared" si="5"/>
        <v>0</v>
      </c>
      <c r="K148" s="783"/>
      <c r="L148" s="803"/>
      <c r="M148" s="783">
        <f t="shared" si="6"/>
        <v>0</v>
      </c>
      <c r="N148" s="803"/>
      <c r="O148" s="783">
        <f t="shared" si="7"/>
        <v>0</v>
      </c>
      <c r="P148" s="783">
        <f t="shared" si="1"/>
        <v>0</v>
      </c>
    </row>
    <row r="149" spans="3:16">
      <c r="C149" s="779">
        <f>IF(D94="","-",+C148+1)</f>
        <v>2061</v>
      </c>
      <c r="D149" s="727">
        <f t="shared" si="2"/>
        <v>0</v>
      </c>
      <c r="E149" s="780">
        <f t="shared" si="4"/>
        <v>0</v>
      </c>
      <c r="F149" s="780">
        <f t="shared" si="0"/>
        <v>0</v>
      </c>
      <c r="G149" s="727">
        <f t="shared" si="3"/>
        <v>0</v>
      </c>
      <c r="H149" s="785">
        <f>+J95*G149+E149</f>
        <v>0</v>
      </c>
      <c r="I149" s="786">
        <f>+J96*G149+E149</f>
        <v>0</v>
      </c>
      <c r="J149" s="783">
        <f t="shared" si="5"/>
        <v>0</v>
      </c>
      <c r="K149" s="783"/>
      <c r="L149" s="803"/>
      <c r="M149" s="783">
        <f t="shared" si="6"/>
        <v>0</v>
      </c>
      <c r="N149" s="803"/>
      <c r="O149" s="783">
        <f t="shared" si="7"/>
        <v>0</v>
      </c>
      <c r="P149" s="783">
        <f t="shared" si="1"/>
        <v>0</v>
      </c>
    </row>
    <row r="150" spans="3:16">
      <c r="C150" s="779">
        <f>IF(D94="","-",+C149+1)</f>
        <v>2062</v>
      </c>
      <c r="D150" s="727">
        <f t="shared" si="2"/>
        <v>0</v>
      </c>
      <c r="E150" s="780">
        <f t="shared" si="4"/>
        <v>0</v>
      </c>
      <c r="F150" s="780">
        <f t="shared" si="0"/>
        <v>0</v>
      </c>
      <c r="G150" s="727">
        <f t="shared" si="3"/>
        <v>0</v>
      </c>
      <c r="H150" s="785">
        <f>+J95*G150+E150</f>
        <v>0</v>
      </c>
      <c r="I150" s="786">
        <f>+J96*G150+E150</f>
        <v>0</v>
      </c>
      <c r="J150" s="783">
        <f t="shared" si="5"/>
        <v>0</v>
      </c>
      <c r="K150" s="783"/>
      <c r="L150" s="803"/>
      <c r="M150" s="783">
        <f t="shared" si="6"/>
        <v>0</v>
      </c>
      <c r="N150" s="803"/>
      <c r="O150" s="783">
        <f t="shared" si="7"/>
        <v>0</v>
      </c>
      <c r="P150" s="783">
        <f t="shared" si="1"/>
        <v>0</v>
      </c>
    </row>
    <row r="151" spans="3:16">
      <c r="C151" s="779">
        <f>IF(D94="","-",+C150+1)</f>
        <v>2063</v>
      </c>
      <c r="D151" s="727">
        <f t="shared" si="2"/>
        <v>0</v>
      </c>
      <c r="E151" s="780">
        <f t="shared" si="4"/>
        <v>0</v>
      </c>
      <c r="F151" s="780">
        <f t="shared" si="0"/>
        <v>0</v>
      </c>
      <c r="G151" s="727">
        <f t="shared" si="3"/>
        <v>0</v>
      </c>
      <c r="H151" s="785">
        <f>+J95*G151+E151</f>
        <v>0</v>
      </c>
      <c r="I151" s="786">
        <f>+J96*G151+E151</f>
        <v>0</v>
      </c>
      <c r="J151" s="783">
        <f t="shared" si="5"/>
        <v>0</v>
      </c>
      <c r="K151" s="783"/>
      <c r="L151" s="803"/>
      <c r="M151" s="783">
        <f t="shared" si="6"/>
        <v>0</v>
      </c>
      <c r="N151" s="803"/>
      <c r="O151" s="783">
        <f t="shared" si="7"/>
        <v>0</v>
      </c>
      <c r="P151" s="783">
        <f t="shared" si="1"/>
        <v>0</v>
      </c>
    </row>
    <row r="152" spans="3:16">
      <c r="C152" s="779">
        <f>IF(D94="","-",+C151+1)</f>
        <v>2064</v>
      </c>
      <c r="D152" s="727">
        <f t="shared" si="2"/>
        <v>0</v>
      </c>
      <c r="E152" s="780">
        <f t="shared" si="4"/>
        <v>0</v>
      </c>
      <c r="F152" s="780">
        <f t="shared" si="0"/>
        <v>0</v>
      </c>
      <c r="G152" s="727">
        <f t="shared" si="3"/>
        <v>0</v>
      </c>
      <c r="H152" s="785">
        <f>+J95*G152+E152</f>
        <v>0</v>
      </c>
      <c r="I152" s="786">
        <f>+J96*G152+E152</f>
        <v>0</v>
      </c>
      <c r="J152" s="783">
        <f t="shared" si="5"/>
        <v>0</v>
      </c>
      <c r="K152" s="783"/>
      <c r="L152" s="803"/>
      <c r="M152" s="783">
        <f t="shared" si="6"/>
        <v>0</v>
      </c>
      <c r="N152" s="803"/>
      <c r="O152" s="783">
        <f t="shared" si="7"/>
        <v>0</v>
      </c>
      <c r="P152" s="783">
        <f t="shared" si="1"/>
        <v>0</v>
      </c>
    </row>
    <row r="153" spans="3:16">
      <c r="C153" s="779">
        <f>IF(D94="","-",+C152+1)</f>
        <v>2065</v>
      </c>
      <c r="D153" s="727">
        <f t="shared" si="2"/>
        <v>0</v>
      </c>
      <c r="E153" s="780">
        <f t="shared" si="4"/>
        <v>0</v>
      </c>
      <c r="F153" s="780">
        <f t="shared" si="0"/>
        <v>0</v>
      </c>
      <c r="G153" s="727">
        <f t="shared" si="3"/>
        <v>0</v>
      </c>
      <c r="H153" s="785">
        <f>+J95*G153+E153</f>
        <v>0</v>
      </c>
      <c r="I153" s="786">
        <f>+J96*G153+E153</f>
        <v>0</v>
      </c>
      <c r="J153" s="783">
        <f t="shared" si="5"/>
        <v>0</v>
      </c>
      <c r="K153" s="783"/>
      <c r="L153" s="803"/>
      <c r="M153" s="783">
        <f t="shared" si="6"/>
        <v>0</v>
      </c>
      <c r="N153" s="803"/>
      <c r="O153" s="783">
        <f t="shared" si="7"/>
        <v>0</v>
      </c>
      <c r="P153" s="783">
        <f t="shared" si="1"/>
        <v>0</v>
      </c>
    </row>
    <row r="154" spans="3:16">
      <c r="C154" s="779">
        <f>IF(D94="","-",+C153+1)</f>
        <v>2066</v>
      </c>
      <c r="D154" s="727">
        <f>F153</f>
        <v>0</v>
      </c>
      <c r="E154" s="780">
        <f t="shared" si="4"/>
        <v>0</v>
      </c>
      <c r="F154" s="780">
        <f t="shared" si="0"/>
        <v>0</v>
      </c>
      <c r="G154" s="727">
        <f t="shared" si="3"/>
        <v>0</v>
      </c>
      <c r="H154" s="785">
        <f>+J95*G154+E154</f>
        <v>0</v>
      </c>
      <c r="I154" s="786">
        <f>+J96*G154+E154</f>
        <v>0</v>
      </c>
      <c r="J154" s="783">
        <f t="shared" si="5"/>
        <v>0</v>
      </c>
      <c r="K154" s="783"/>
      <c r="L154" s="803"/>
      <c r="M154" s="783">
        <f t="shared" si="6"/>
        <v>0</v>
      </c>
      <c r="N154" s="803"/>
      <c r="O154" s="783">
        <f t="shared" si="7"/>
        <v>0</v>
      </c>
      <c r="P154" s="783">
        <f t="shared" si="1"/>
        <v>0</v>
      </c>
    </row>
    <row r="155" spans="3:16">
      <c r="C155" s="779">
        <f>IF(D94="","-",+C154+1)</f>
        <v>2067</v>
      </c>
      <c r="D155" s="727">
        <f t="shared" si="2"/>
        <v>0</v>
      </c>
      <c r="E155" s="780">
        <f t="shared" si="4"/>
        <v>0</v>
      </c>
      <c r="F155" s="780">
        <f t="shared" si="0"/>
        <v>0</v>
      </c>
      <c r="G155" s="727">
        <f t="shared" si="3"/>
        <v>0</v>
      </c>
      <c r="H155" s="785">
        <f>+J95*G155+E155</f>
        <v>0</v>
      </c>
      <c r="I155" s="786">
        <f>+J96*G155+E155</f>
        <v>0</v>
      </c>
      <c r="J155" s="783">
        <f t="shared" si="5"/>
        <v>0</v>
      </c>
      <c r="K155" s="783"/>
      <c r="L155" s="803"/>
      <c r="M155" s="783">
        <f t="shared" si="6"/>
        <v>0</v>
      </c>
      <c r="N155" s="803"/>
      <c r="O155" s="783">
        <f t="shared" si="7"/>
        <v>0</v>
      </c>
      <c r="P155" s="783">
        <f t="shared" si="1"/>
        <v>0</v>
      </c>
    </row>
    <row r="156" spans="3:16">
      <c r="C156" s="779">
        <f>IF(D94="","-",+C155+1)</f>
        <v>2068</v>
      </c>
      <c r="D156" s="727">
        <f t="shared" si="2"/>
        <v>0</v>
      </c>
      <c r="E156" s="780">
        <f t="shared" si="4"/>
        <v>0</v>
      </c>
      <c r="F156" s="780">
        <f t="shared" si="0"/>
        <v>0</v>
      </c>
      <c r="G156" s="727">
        <f t="shared" si="3"/>
        <v>0</v>
      </c>
      <c r="H156" s="785">
        <f>+J95*G156+E156</f>
        <v>0</v>
      </c>
      <c r="I156" s="786">
        <f>+J96*G156+E156</f>
        <v>0</v>
      </c>
      <c r="J156" s="783">
        <f t="shared" si="5"/>
        <v>0</v>
      </c>
      <c r="K156" s="783"/>
      <c r="L156" s="803"/>
      <c r="M156" s="783">
        <f t="shared" si="6"/>
        <v>0</v>
      </c>
      <c r="N156" s="803"/>
      <c r="O156" s="783">
        <f t="shared" si="7"/>
        <v>0</v>
      </c>
      <c r="P156" s="783">
        <f t="shared" si="1"/>
        <v>0</v>
      </c>
    </row>
    <row r="157" spans="3:16">
      <c r="C157" s="779">
        <f>IF(D94="","-",+C156+1)</f>
        <v>2069</v>
      </c>
      <c r="D157" s="727">
        <f t="shared" si="2"/>
        <v>0</v>
      </c>
      <c r="E157" s="780">
        <f t="shared" si="4"/>
        <v>0</v>
      </c>
      <c r="F157" s="780">
        <f t="shared" si="0"/>
        <v>0</v>
      </c>
      <c r="G157" s="727">
        <f t="shared" si="3"/>
        <v>0</v>
      </c>
      <c r="H157" s="785">
        <f>+J95*G157+E157</f>
        <v>0</v>
      </c>
      <c r="I157" s="786">
        <f>+J96*G157+E157</f>
        <v>0</v>
      </c>
      <c r="J157" s="783">
        <f t="shared" si="5"/>
        <v>0</v>
      </c>
      <c r="K157" s="783"/>
      <c r="L157" s="803"/>
      <c r="M157" s="783">
        <f t="shared" si="6"/>
        <v>0</v>
      </c>
      <c r="N157" s="803"/>
      <c r="O157" s="783">
        <f t="shared" si="7"/>
        <v>0</v>
      </c>
      <c r="P157" s="783">
        <f t="shared" si="1"/>
        <v>0</v>
      </c>
    </row>
    <row r="158" spans="3:16">
      <c r="C158" s="779">
        <f>IF(D94="","-",+C157+1)</f>
        <v>2070</v>
      </c>
      <c r="D158" s="727">
        <f t="shared" si="2"/>
        <v>0</v>
      </c>
      <c r="E158" s="780">
        <f t="shared" si="4"/>
        <v>0</v>
      </c>
      <c r="F158" s="780">
        <f t="shared" si="0"/>
        <v>0</v>
      </c>
      <c r="G158" s="727">
        <f t="shared" si="3"/>
        <v>0</v>
      </c>
      <c r="H158" s="785">
        <f>+J95*G158+E158</f>
        <v>0</v>
      </c>
      <c r="I158" s="786">
        <f>+J96*G158+E158</f>
        <v>0</v>
      </c>
      <c r="J158" s="783">
        <f t="shared" si="5"/>
        <v>0</v>
      </c>
      <c r="K158" s="783"/>
      <c r="L158" s="803"/>
      <c r="M158" s="783">
        <f t="shared" si="6"/>
        <v>0</v>
      </c>
      <c r="N158" s="803"/>
      <c r="O158" s="783">
        <f t="shared" si="7"/>
        <v>0</v>
      </c>
      <c r="P158" s="783">
        <f t="shared" si="1"/>
        <v>0</v>
      </c>
    </row>
    <row r="159" spans="3:16" ht="13.5" thickBot="1">
      <c r="C159" s="789">
        <f>IF(D94="","-",+C158+1)</f>
        <v>2071</v>
      </c>
      <c r="D159" s="790">
        <f t="shared" si="2"/>
        <v>0</v>
      </c>
      <c r="E159" s="791">
        <f t="shared" si="4"/>
        <v>0</v>
      </c>
      <c r="F159" s="791">
        <f t="shared" si="0"/>
        <v>0</v>
      </c>
      <c r="G159" s="790">
        <f t="shared" si="3"/>
        <v>0</v>
      </c>
      <c r="H159" s="792">
        <f>+J95*G159+E159</f>
        <v>0</v>
      </c>
      <c r="I159" s="792">
        <f>+J96*G159+E159</f>
        <v>0</v>
      </c>
      <c r="J159" s="793">
        <f t="shared" si="5"/>
        <v>0</v>
      </c>
      <c r="K159" s="783"/>
      <c r="L159" s="804"/>
      <c r="M159" s="793">
        <f t="shared" si="6"/>
        <v>0</v>
      </c>
      <c r="N159" s="804"/>
      <c r="O159" s="793">
        <f t="shared" si="7"/>
        <v>0</v>
      </c>
      <c r="P159" s="793">
        <f t="shared" si="1"/>
        <v>0</v>
      </c>
    </row>
    <row r="160" spans="3:16">
      <c r="C160" s="727" t="s">
        <v>93</v>
      </c>
      <c r="D160" s="721"/>
      <c r="E160" s="721">
        <f>SUM(E100:E159)</f>
        <v>6636011.2699999996</v>
      </c>
      <c r="F160" s="721"/>
      <c r="G160" s="721"/>
      <c r="H160" s="721">
        <f>SUM(H100:H159)</f>
        <v>21118278.482039202</v>
      </c>
      <c r="I160" s="721">
        <f>SUM(I100:I159)</f>
        <v>21118278.482039202</v>
      </c>
      <c r="J160" s="721">
        <f>SUM(J100:J159)</f>
        <v>0</v>
      </c>
      <c r="K160" s="721"/>
      <c r="L160" s="721"/>
      <c r="M160" s="721"/>
      <c r="N160" s="721"/>
      <c r="O160" s="721"/>
    </row>
    <row r="161" spans="1:17">
      <c r="D161" s="529"/>
      <c r="E161" s="308"/>
      <c r="F161" s="308"/>
      <c r="G161" s="308"/>
      <c r="H161" s="308"/>
      <c r="I161" s="699"/>
      <c r="J161" s="699"/>
      <c r="K161" s="721"/>
      <c r="L161" s="699"/>
      <c r="M161" s="699"/>
      <c r="N161" s="699"/>
      <c r="O161" s="699"/>
    </row>
    <row r="162" spans="1:17">
      <c r="C162" s="308" t="s">
        <v>15</v>
      </c>
      <c r="D162" s="529"/>
      <c r="E162" s="308"/>
      <c r="F162" s="308"/>
      <c r="G162" s="308"/>
      <c r="H162" s="308"/>
      <c r="I162" s="699"/>
      <c r="J162" s="699"/>
      <c r="K162" s="721"/>
      <c r="L162" s="699"/>
      <c r="M162" s="699"/>
      <c r="N162" s="699"/>
      <c r="O162" s="699"/>
    </row>
    <row r="163" spans="1:17">
      <c r="C163" s="308"/>
      <c r="D163" s="529"/>
      <c r="E163" s="308"/>
      <c r="F163" s="308"/>
      <c r="G163" s="308"/>
      <c r="H163" s="308"/>
      <c r="I163" s="699"/>
      <c r="J163" s="699"/>
      <c r="K163" s="721"/>
      <c r="L163" s="699"/>
      <c r="M163" s="699"/>
      <c r="N163" s="699"/>
      <c r="O163" s="699"/>
    </row>
    <row r="164" spans="1:17">
      <c r="C164" s="740" t="s">
        <v>16</v>
      </c>
      <c r="D164" s="727"/>
      <c r="E164" s="727"/>
      <c r="F164" s="727"/>
      <c r="G164" s="727"/>
      <c r="H164" s="721"/>
      <c r="I164" s="721"/>
      <c r="J164" s="795"/>
      <c r="K164" s="795"/>
      <c r="L164" s="795"/>
      <c r="M164" s="795"/>
      <c r="N164" s="795"/>
      <c r="O164" s="795"/>
    </row>
    <row r="165" spans="1:17">
      <c r="C165" s="726" t="s">
        <v>273</v>
      </c>
      <c r="D165" s="727"/>
      <c r="E165" s="727"/>
      <c r="F165" s="727"/>
      <c r="G165" s="727"/>
      <c r="H165" s="721"/>
      <c r="I165" s="721"/>
      <c r="J165" s="795"/>
      <c r="K165" s="795"/>
      <c r="L165" s="795"/>
      <c r="M165" s="795"/>
      <c r="N165" s="795"/>
      <c r="O165" s="795"/>
    </row>
    <row r="166" spans="1:17">
      <c r="C166" s="726" t="s">
        <v>94</v>
      </c>
      <c r="D166" s="727"/>
      <c r="E166" s="727"/>
      <c r="F166" s="727"/>
      <c r="G166" s="727"/>
      <c r="H166" s="721"/>
      <c r="I166" s="721"/>
      <c r="J166" s="795"/>
      <c r="K166" s="795"/>
      <c r="L166" s="795"/>
      <c r="M166" s="795"/>
      <c r="N166" s="795"/>
      <c r="O166" s="795"/>
    </row>
    <row r="167" spans="1:17">
      <c r="C167" s="726"/>
      <c r="D167" s="727"/>
      <c r="E167" s="727"/>
      <c r="F167" s="727"/>
      <c r="G167" s="727"/>
      <c r="H167" s="721"/>
      <c r="I167" s="721"/>
      <c r="J167" s="795"/>
      <c r="K167" s="795"/>
      <c r="L167" s="795"/>
      <c r="M167" s="795"/>
      <c r="N167" s="795"/>
      <c r="O167" s="795"/>
    </row>
    <row r="168" spans="1:17" ht="20.25">
      <c r="A168" s="728" t="str">
        <f>""&amp;A92&amp;" Worksheet K -  ATRR TRUE-UP Calculation for PJM Projects Charged to Benefiting Zones"</f>
        <v xml:space="preserve"> Worksheet K -  ATRR TRUE-UP Calculation for PJM Projects Charged to Benefiting Zones</v>
      </c>
      <c r="B168" s="341"/>
      <c r="C168" s="716"/>
      <c r="D168" s="529"/>
      <c r="E168" s="308"/>
      <c r="F168" s="698"/>
      <c r="G168" s="698"/>
      <c r="H168" s="308"/>
      <c r="I168" s="699"/>
      <c r="L168" s="555"/>
      <c r="M168" s="555"/>
      <c r="N168" s="555"/>
      <c r="O168" s="644" t="str">
        <f>"Page "&amp;SUM(Q$8:Q168)&amp;" of "</f>
        <v xml:space="preserve">Page 2 of </v>
      </c>
      <c r="P168" s="645">
        <f>COUNT(Q$8:Q$56657)</f>
        <v>10</v>
      </c>
      <c r="Q168" s="172">
        <v>1</v>
      </c>
    </row>
    <row r="169" spans="1:17">
      <c r="B169" s="341"/>
      <c r="C169" s="308"/>
      <c r="D169" s="529"/>
      <c r="E169" s="308"/>
      <c r="F169" s="308"/>
      <c r="G169" s="308"/>
      <c r="H169" s="308"/>
      <c r="I169" s="699"/>
      <c r="J169" s="308"/>
      <c r="K169" s="418"/>
    </row>
    <row r="170" spans="1:17" ht="18">
      <c r="B170" s="648" t="s">
        <v>474</v>
      </c>
      <c r="C170" s="730" t="s">
        <v>95</v>
      </c>
      <c r="D170" s="529"/>
      <c r="E170" s="308"/>
      <c r="F170" s="308"/>
      <c r="G170" s="308"/>
      <c r="H170" s="308"/>
      <c r="I170" s="699"/>
      <c r="J170" s="699"/>
      <c r="K170" s="721"/>
      <c r="L170" s="699"/>
      <c r="M170" s="699"/>
      <c r="N170" s="699"/>
      <c r="O170" s="699"/>
    </row>
    <row r="171" spans="1:17" ht="18.75">
      <c r="B171" s="648"/>
      <c r="C171" s="647"/>
      <c r="D171" s="529"/>
      <c r="E171" s="308"/>
      <c r="F171" s="308"/>
      <c r="G171" s="308"/>
      <c r="H171" s="308"/>
      <c r="I171" s="699"/>
      <c r="J171" s="699"/>
      <c r="K171" s="721"/>
      <c r="L171" s="699"/>
      <c r="M171" s="699"/>
      <c r="N171" s="699"/>
      <c r="O171" s="699"/>
    </row>
    <row r="172" spans="1:17" ht="18.75">
      <c r="B172" s="648"/>
      <c r="C172" s="647" t="s">
        <v>96</v>
      </c>
      <c r="D172" s="529"/>
      <c r="E172" s="308"/>
      <c r="F172" s="308"/>
      <c r="G172" s="308"/>
      <c r="H172" s="308"/>
      <c r="I172" s="699"/>
      <c r="J172" s="699"/>
      <c r="K172" s="721"/>
      <c r="L172" s="699"/>
      <c r="M172" s="699"/>
      <c r="N172" s="699"/>
      <c r="O172" s="699"/>
    </row>
    <row r="173" spans="1:17" ht="15.75" thickBot="1">
      <c r="C173" s="239"/>
      <c r="D173" s="529"/>
      <c r="E173" s="308"/>
      <c r="F173" s="308"/>
      <c r="G173" s="308"/>
      <c r="H173" s="308"/>
      <c r="I173" s="699"/>
      <c r="J173" s="699"/>
      <c r="K173" s="721"/>
      <c r="L173" s="699"/>
      <c r="M173" s="699"/>
      <c r="N173" s="699"/>
      <c r="O173" s="699"/>
    </row>
    <row r="174" spans="1:17" ht="15.75">
      <c r="C174" s="650" t="s">
        <v>97</v>
      </c>
      <c r="D174" s="529"/>
      <c r="E174" s="308"/>
      <c r="F174" s="308"/>
      <c r="G174" s="308"/>
      <c r="H174" s="797"/>
      <c r="I174" s="308" t="s">
        <v>76</v>
      </c>
      <c r="J174" s="308"/>
      <c r="K174" s="418"/>
      <c r="L174" s="826">
        <f>+J180</f>
        <v>2022</v>
      </c>
      <c r="M174" s="807" t="s">
        <v>54</v>
      </c>
      <c r="N174" s="807" t="s">
        <v>55</v>
      </c>
      <c r="O174" s="808" t="s">
        <v>57</v>
      </c>
    </row>
    <row r="175" spans="1:17" ht="15.75">
      <c r="C175" s="650"/>
      <c r="D175" s="529"/>
      <c r="E175" s="308"/>
      <c r="F175" s="308"/>
      <c r="H175" s="308"/>
      <c r="I175" s="735"/>
      <c r="J175" s="735"/>
      <c r="K175" s="736"/>
      <c r="L175" s="827" t="s">
        <v>245</v>
      </c>
      <c r="M175" s="828">
        <f>VLOOKUP(J180,C187:P246,10)</f>
        <v>1732119.5321513379</v>
      </c>
      <c r="N175" s="828">
        <f>VLOOKUP(J180,C187:P246,12)</f>
        <v>1732119.5321513379</v>
      </c>
      <c r="O175" s="829">
        <f>+N175-M175</f>
        <v>0</v>
      </c>
    </row>
    <row r="176" spans="1:17">
      <c r="C176" s="740" t="s">
        <v>98</v>
      </c>
      <c r="D176" s="1566" t="s">
        <v>816</v>
      </c>
      <c r="E176" s="1567"/>
      <c r="F176" s="1567"/>
      <c r="G176" s="1567"/>
      <c r="H176" s="1567"/>
      <c r="I176" s="1567"/>
      <c r="J176" s="699"/>
      <c r="K176" s="721"/>
      <c r="L176" s="827" t="s">
        <v>246</v>
      </c>
      <c r="M176" s="830">
        <f>VLOOKUP(J180,C187:P246,6)</f>
        <v>1739027.8395632915</v>
      </c>
      <c r="N176" s="830">
        <f>VLOOKUP(J180,C187:P246,7)</f>
        <v>1739027.8395632915</v>
      </c>
      <c r="O176" s="831">
        <f>+N176-M176</f>
        <v>0</v>
      </c>
    </row>
    <row r="177" spans="1:16" ht="13.5" thickBot="1">
      <c r="C177" s="744"/>
      <c r="D177" s="1567"/>
      <c r="E177" s="1567"/>
      <c r="F177" s="1567"/>
      <c r="G177" s="1567"/>
      <c r="H177" s="1567"/>
      <c r="I177" s="1567"/>
      <c r="J177" s="699"/>
      <c r="K177" s="721"/>
      <c r="L177" s="763" t="s">
        <v>247</v>
      </c>
      <c r="M177" s="832">
        <f>+M176-M175</f>
        <v>6908.307411953574</v>
      </c>
      <c r="N177" s="832">
        <f>+N176-N175</f>
        <v>6908.307411953574</v>
      </c>
      <c r="O177" s="833">
        <f>+O176-O175</f>
        <v>0</v>
      </c>
    </row>
    <row r="178" spans="1:16" ht="13.5" thickBot="1">
      <c r="C178" s="747"/>
      <c r="D178" s="748"/>
      <c r="E178" s="746"/>
      <c r="F178" s="746"/>
      <c r="G178" s="746"/>
      <c r="H178" s="746"/>
      <c r="I178" s="746"/>
      <c r="J178" s="746"/>
      <c r="K178" s="749"/>
      <c r="L178" s="746"/>
      <c r="M178" s="746"/>
      <c r="N178" s="746"/>
      <c r="O178" s="746"/>
      <c r="P178" s="341"/>
    </row>
    <row r="179" spans="1:16" ht="13.5" thickBot="1">
      <c r="C179" s="750" t="s">
        <v>99</v>
      </c>
      <c r="D179" s="751"/>
      <c r="E179" s="751"/>
      <c r="F179" s="751"/>
      <c r="G179" s="751"/>
      <c r="H179" s="751"/>
      <c r="I179" s="751"/>
      <c r="J179" s="751"/>
      <c r="K179" s="753"/>
      <c r="P179" s="754"/>
    </row>
    <row r="180" spans="1:16" ht="15">
      <c r="A180" s="1331"/>
      <c r="C180" s="755" t="s">
        <v>77</v>
      </c>
      <c r="D180" s="799">
        <v>15264783.67</v>
      </c>
      <c r="E180" s="716" t="s">
        <v>78</v>
      </c>
      <c r="H180" s="756"/>
      <c r="I180" s="756"/>
      <c r="J180" s="757">
        <f>$J$93</f>
        <v>2022</v>
      </c>
      <c r="K180" s="545"/>
      <c r="L180" s="1554" t="s">
        <v>79</v>
      </c>
      <c r="M180" s="1554"/>
      <c r="N180" s="1554"/>
      <c r="O180" s="1554"/>
      <c r="P180" s="418"/>
    </row>
    <row r="181" spans="1:16">
      <c r="C181" s="755" t="s">
        <v>80</v>
      </c>
      <c r="D181" s="1301">
        <v>2013</v>
      </c>
      <c r="E181" s="755" t="s">
        <v>81</v>
      </c>
      <c r="F181" s="756"/>
      <c r="G181" s="756"/>
      <c r="I181" s="172"/>
      <c r="J181" s="801">
        <f>IF(H174="",0,$F$17)</f>
        <v>0</v>
      </c>
      <c r="K181" s="758"/>
      <c r="L181" s="721" t="s">
        <v>287</v>
      </c>
      <c r="P181" s="418"/>
    </row>
    <row r="182" spans="1:16">
      <c r="C182" s="755" t="s">
        <v>82</v>
      </c>
      <c r="D182" s="799">
        <v>6</v>
      </c>
      <c r="E182" s="755" t="s">
        <v>83</v>
      </c>
      <c r="F182" s="756"/>
      <c r="G182" s="756"/>
      <c r="I182" s="172"/>
      <c r="J182" s="759">
        <f>$F$70</f>
        <v>0.11486185889303469</v>
      </c>
      <c r="K182" s="760"/>
      <c r="L182" s="308" t="str">
        <f>"          INPUT TRUE-UP ARR (WITH &amp; WITHOUT INCENTIVES) FROM EACH PRIOR YEAR"</f>
        <v xml:space="preserve">          INPUT TRUE-UP ARR (WITH &amp; WITHOUT INCENTIVES) FROM EACH PRIOR YEAR</v>
      </c>
      <c r="P182" s="418"/>
    </row>
    <row r="183" spans="1:16">
      <c r="C183" s="755" t="s">
        <v>84</v>
      </c>
      <c r="D183" s="761">
        <f>H$79</f>
        <v>36</v>
      </c>
      <c r="E183" s="755" t="s">
        <v>85</v>
      </c>
      <c r="F183" s="756"/>
      <c r="G183" s="756"/>
      <c r="I183" s="172"/>
      <c r="J183" s="759">
        <f>IF(H174="",+J182,$F$69)</f>
        <v>0.11486185889303469</v>
      </c>
      <c r="K183" s="762"/>
      <c r="L183" s="308" t="s">
        <v>167</v>
      </c>
      <c r="M183" s="762"/>
      <c r="N183" s="762"/>
      <c r="O183" s="762"/>
      <c r="P183" s="418"/>
    </row>
    <row r="184" spans="1:16" ht="13.5" thickBot="1">
      <c r="C184" s="755" t="s">
        <v>86</v>
      </c>
      <c r="D184" s="1322" t="s">
        <v>814</v>
      </c>
      <c r="E184" s="763" t="s">
        <v>87</v>
      </c>
      <c r="F184" s="764"/>
      <c r="G184" s="764"/>
      <c r="H184" s="765"/>
      <c r="I184" s="765"/>
      <c r="J184" s="743">
        <f>IF(D180=0,0,D180/D183)</f>
        <v>424021.7686111111</v>
      </c>
      <c r="K184" s="721"/>
      <c r="L184" s="721" t="s">
        <v>168</v>
      </c>
      <c r="M184" s="721"/>
      <c r="N184" s="721"/>
      <c r="O184" s="721"/>
      <c r="P184" s="418"/>
    </row>
    <row r="185" spans="1:16" ht="38.25">
      <c r="B185" s="836"/>
      <c r="C185" s="766" t="s">
        <v>77</v>
      </c>
      <c r="D185" s="767" t="s">
        <v>88</v>
      </c>
      <c r="E185" s="768" t="s">
        <v>89</v>
      </c>
      <c r="F185" s="767" t="s">
        <v>90</v>
      </c>
      <c r="G185" s="767" t="s">
        <v>248</v>
      </c>
      <c r="H185" s="768" t="s">
        <v>161</v>
      </c>
      <c r="I185" s="769" t="s">
        <v>161</v>
      </c>
      <c r="J185" s="766" t="s">
        <v>100</v>
      </c>
      <c r="K185" s="770"/>
      <c r="L185" s="768" t="s">
        <v>163</v>
      </c>
      <c r="M185" s="768" t="s">
        <v>169</v>
      </c>
      <c r="N185" s="768" t="s">
        <v>163</v>
      </c>
      <c r="O185" s="768" t="s">
        <v>171</v>
      </c>
      <c r="P185" s="768" t="s">
        <v>91</v>
      </c>
    </row>
    <row r="186" spans="1:16" ht="13.5" thickBot="1">
      <c r="C186" s="772" t="s">
        <v>477</v>
      </c>
      <c r="D186" s="773" t="s">
        <v>478</v>
      </c>
      <c r="E186" s="772" t="s">
        <v>371</v>
      </c>
      <c r="F186" s="773" t="s">
        <v>478</v>
      </c>
      <c r="G186" s="773" t="s">
        <v>478</v>
      </c>
      <c r="H186" s="774" t="s">
        <v>103</v>
      </c>
      <c r="I186" s="775" t="s">
        <v>105</v>
      </c>
      <c r="J186" s="776" t="s">
        <v>17</v>
      </c>
      <c r="K186" s="777"/>
      <c r="L186" s="774" t="s">
        <v>92</v>
      </c>
      <c r="M186" s="774" t="s">
        <v>92</v>
      </c>
      <c r="N186" s="774" t="s">
        <v>265</v>
      </c>
      <c r="O186" s="774" t="s">
        <v>265</v>
      </c>
      <c r="P186" s="774" t="s">
        <v>265</v>
      </c>
    </row>
    <row r="187" spans="1:16">
      <c r="C187" s="779">
        <f>IF(D181= "","-",D181)</f>
        <v>2013</v>
      </c>
      <c r="D187" s="727">
        <f>+D180</f>
        <v>15264783.67</v>
      </c>
      <c r="E187" s="785">
        <f>+J184/12*(12-D182)</f>
        <v>212010.88430555555</v>
      </c>
      <c r="F187" s="834">
        <f t="shared" ref="F187:F246" si="8">+D187-E187</f>
        <v>15052772.785694445</v>
      </c>
      <c r="G187" s="727">
        <f>+(D187+F187)/2</f>
        <v>15158778.227847222</v>
      </c>
      <c r="H187" s="781">
        <f>+J182*G187+E187</f>
        <v>1953176.3301033496</v>
      </c>
      <c r="I187" s="782">
        <f>+J183*G187+E187</f>
        <v>1953176.3301033496</v>
      </c>
      <c r="J187" s="783">
        <f>+I187-H187</f>
        <v>0</v>
      </c>
      <c r="K187" s="783"/>
      <c r="L187" s="1303">
        <v>1578782</v>
      </c>
      <c r="M187" s="835">
        <f t="shared" ref="M187:M246" si="9">IF(L187&lt;&gt;0,+H187-L187,0)</f>
        <v>374394.33010334964</v>
      </c>
      <c r="N187" s="1303">
        <v>1578782</v>
      </c>
      <c r="O187" s="835">
        <f t="shared" ref="O187:O246" si="10">IF(N187&lt;&gt;0,+I187-N187,0)</f>
        <v>374394.33010334964</v>
      </c>
      <c r="P187" s="835">
        <f t="shared" ref="P187:P246" si="11">+O187-M187</f>
        <v>0</v>
      </c>
    </row>
    <row r="188" spans="1:16">
      <c r="C188" s="779">
        <f>IF(D181="","-",+C187+1)</f>
        <v>2014</v>
      </c>
      <c r="D188" s="727">
        <f t="shared" ref="D188:D240" si="12">F187</f>
        <v>15052772.785694445</v>
      </c>
      <c r="E188" s="780">
        <f>IF(D188&gt;$J$184,$J$184,D188)</f>
        <v>424021.7686111111</v>
      </c>
      <c r="F188" s="780">
        <f t="shared" si="8"/>
        <v>14628751.017083334</v>
      </c>
      <c r="G188" s="727">
        <f t="shared" ref="G188:G246" si="13">+(D188+F188)/2</f>
        <v>14840761.901388889</v>
      </c>
      <c r="H188" s="785">
        <f>+J182*G188+E188</f>
        <v>2128659.267993567</v>
      </c>
      <c r="I188" s="786">
        <f>+J183*G188+E188</f>
        <v>2128659.267993567</v>
      </c>
      <c r="J188" s="783">
        <f>+I188-H188</f>
        <v>0</v>
      </c>
      <c r="K188" s="783"/>
      <c r="L188" s="1304">
        <v>1735811</v>
      </c>
      <c r="M188" s="783">
        <f t="shared" si="9"/>
        <v>392848.26799356705</v>
      </c>
      <c r="N188" s="1304">
        <v>1735811</v>
      </c>
      <c r="O188" s="783">
        <f t="shared" si="10"/>
        <v>392848.26799356705</v>
      </c>
      <c r="P188" s="783">
        <f t="shared" si="11"/>
        <v>0</v>
      </c>
    </row>
    <row r="189" spans="1:16">
      <c r="C189" s="779">
        <f>IF(D181="","-",+C188+1)</f>
        <v>2015</v>
      </c>
      <c r="D189" s="727">
        <f t="shared" si="12"/>
        <v>14628751.017083334</v>
      </c>
      <c r="E189" s="780">
        <f t="shared" ref="E189:E246" si="14">IF(D189&gt;$J$184,$J$184,D189)</f>
        <v>424021.7686111111</v>
      </c>
      <c r="F189" s="780">
        <f t="shared" si="8"/>
        <v>14204729.248472223</v>
      </c>
      <c r="G189" s="727">
        <f t="shared" si="13"/>
        <v>14416740.132777778</v>
      </c>
      <c r="H189" s="785">
        <f>+J182*G189+E189</f>
        <v>2079955.3394397823</v>
      </c>
      <c r="I189" s="786">
        <f>+J183*G189+E189</f>
        <v>2079955.3394397823</v>
      </c>
      <c r="J189" s="783">
        <f t="shared" ref="J189:J246" si="15">+I189-H189</f>
        <v>0</v>
      </c>
      <c r="K189" s="783"/>
      <c r="L189" s="1304">
        <v>1857418</v>
      </c>
      <c r="M189" s="783">
        <f t="shared" si="9"/>
        <v>222537.33943978231</v>
      </c>
      <c r="N189" s="1304">
        <v>1857418</v>
      </c>
      <c r="O189" s="783">
        <f t="shared" si="10"/>
        <v>222537.33943978231</v>
      </c>
      <c r="P189" s="783">
        <f t="shared" si="11"/>
        <v>0</v>
      </c>
    </row>
    <row r="190" spans="1:16">
      <c r="C190" s="779">
        <f>IF(D181="","-",+C189+1)</f>
        <v>2016</v>
      </c>
      <c r="D190" s="727">
        <f t="shared" si="12"/>
        <v>14204729.248472223</v>
      </c>
      <c r="E190" s="780">
        <f t="shared" si="14"/>
        <v>424021.7686111111</v>
      </c>
      <c r="F190" s="780">
        <f t="shared" si="8"/>
        <v>13780707.479861112</v>
      </c>
      <c r="G190" s="727">
        <f t="shared" si="13"/>
        <v>13992718.364166668</v>
      </c>
      <c r="H190" s="785">
        <f>+J182*G190+E190</f>
        <v>2031251.410885998</v>
      </c>
      <c r="I190" s="786">
        <f>+J183*G190+E190</f>
        <v>2031251.410885998</v>
      </c>
      <c r="J190" s="783">
        <f t="shared" si="15"/>
        <v>0</v>
      </c>
      <c r="K190" s="783"/>
      <c r="L190" s="1304">
        <v>1808629</v>
      </c>
      <c r="M190" s="783">
        <f t="shared" si="9"/>
        <v>222622.41088599805</v>
      </c>
      <c r="N190" s="1304">
        <v>1808629</v>
      </c>
      <c r="O190" s="783">
        <f t="shared" si="10"/>
        <v>222622.41088599805</v>
      </c>
      <c r="P190" s="783">
        <f t="shared" si="11"/>
        <v>0</v>
      </c>
    </row>
    <row r="191" spans="1:16">
      <c r="C191" s="779">
        <f>IF(D181="","-",+C190+1)</f>
        <v>2017</v>
      </c>
      <c r="D191" s="727">
        <f t="shared" si="12"/>
        <v>13780707.479861112</v>
      </c>
      <c r="E191" s="780">
        <f t="shared" si="14"/>
        <v>424021.7686111111</v>
      </c>
      <c r="F191" s="780">
        <f t="shared" si="8"/>
        <v>13356685.711250002</v>
      </c>
      <c r="G191" s="727">
        <f t="shared" si="13"/>
        <v>13568696.595555557</v>
      </c>
      <c r="H191" s="785">
        <f>+J182*G191+E191</f>
        <v>1982547.4823322138</v>
      </c>
      <c r="I191" s="786">
        <f>+J183*G191+E191</f>
        <v>1982547.4823322138</v>
      </c>
      <c r="J191" s="783">
        <f t="shared" si="15"/>
        <v>0</v>
      </c>
      <c r="K191" s="783"/>
      <c r="L191" s="1304">
        <v>1924179</v>
      </c>
      <c r="M191" s="783">
        <f t="shared" si="9"/>
        <v>58368.482332213782</v>
      </c>
      <c r="N191" s="1304">
        <v>1924179</v>
      </c>
      <c r="O191" s="783">
        <f t="shared" si="10"/>
        <v>58368.482332213782</v>
      </c>
      <c r="P191" s="783">
        <f t="shared" si="11"/>
        <v>0</v>
      </c>
    </row>
    <row r="192" spans="1:16">
      <c r="C192" s="779">
        <f>IF(D181="","-",+C191+1)</f>
        <v>2018</v>
      </c>
      <c r="D192" s="1393">
        <f t="shared" si="12"/>
        <v>13356685.711250002</v>
      </c>
      <c r="E192" s="780">
        <f t="shared" si="14"/>
        <v>424021.7686111111</v>
      </c>
      <c r="F192" s="780">
        <f t="shared" si="8"/>
        <v>12932663.942638891</v>
      </c>
      <c r="G192" s="727">
        <f t="shared" si="13"/>
        <v>13144674.826944446</v>
      </c>
      <c r="H192" s="785">
        <f>+J182*G192+E192</f>
        <v>1933843.553778429</v>
      </c>
      <c r="I192" s="786">
        <f>+J183*G192+E192</f>
        <v>1933843.553778429</v>
      </c>
      <c r="J192" s="783">
        <f t="shared" si="15"/>
        <v>0</v>
      </c>
      <c r="K192" s="783"/>
      <c r="L192" s="1304">
        <v>1648242</v>
      </c>
      <c r="M192" s="783">
        <f t="shared" si="9"/>
        <v>285601.55377842905</v>
      </c>
      <c r="N192" s="1304">
        <v>1648242</v>
      </c>
      <c r="O192" s="783">
        <f t="shared" si="10"/>
        <v>285601.55377842905</v>
      </c>
      <c r="P192" s="783">
        <f t="shared" si="11"/>
        <v>0</v>
      </c>
    </row>
    <row r="193" spans="3:16">
      <c r="C193" s="779">
        <f>IF(D181="","-",+C192+1)</f>
        <v>2019</v>
      </c>
      <c r="D193" s="1323">
        <f t="shared" si="12"/>
        <v>12932663.942638891</v>
      </c>
      <c r="E193" s="780">
        <f t="shared" si="14"/>
        <v>424021.7686111111</v>
      </c>
      <c r="F193" s="780">
        <f t="shared" si="8"/>
        <v>12508642.17402778</v>
      </c>
      <c r="G193" s="727">
        <f t="shared" si="13"/>
        <v>12720653.058333335</v>
      </c>
      <c r="H193" s="785">
        <f>+J182*G193+E193</f>
        <v>1885139.6252246448</v>
      </c>
      <c r="I193" s="786">
        <f>+J183*G193+E193</f>
        <v>1885139.6252246448</v>
      </c>
      <c r="J193" s="783">
        <f t="shared" si="15"/>
        <v>0</v>
      </c>
      <c r="K193" s="783"/>
      <c r="L193" s="1304">
        <v>1728141</v>
      </c>
      <c r="M193" s="783">
        <f t="shared" si="9"/>
        <v>156998.62522464478</v>
      </c>
      <c r="N193" s="1304">
        <v>1728141</v>
      </c>
      <c r="O193" s="783">
        <f t="shared" si="10"/>
        <v>156998.62522464478</v>
      </c>
      <c r="P193" s="783">
        <f t="shared" si="11"/>
        <v>0</v>
      </c>
    </row>
    <row r="194" spans="3:16">
      <c r="C194" s="779">
        <f>IF(D181="","-",+C193+1)</f>
        <v>2020</v>
      </c>
      <c r="D194" s="727">
        <f t="shared" si="12"/>
        <v>12508642.17402778</v>
      </c>
      <c r="E194" s="780">
        <f t="shared" si="14"/>
        <v>424021.7686111111</v>
      </c>
      <c r="F194" s="780">
        <f t="shared" si="8"/>
        <v>12084620.405416669</v>
      </c>
      <c r="G194" s="727">
        <f t="shared" si="13"/>
        <v>12296631.289722225</v>
      </c>
      <c r="H194" s="785">
        <f>+J182*G194+E194</f>
        <v>1836435.6966708605</v>
      </c>
      <c r="I194" s="786">
        <f>+J183*G194+E194</f>
        <v>1836435.6966708605</v>
      </c>
      <c r="J194" s="783">
        <f t="shared" si="15"/>
        <v>0</v>
      </c>
      <c r="K194" s="783"/>
      <c r="L194" s="1304">
        <v>1748229.4747008712</v>
      </c>
      <c r="M194" s="783">
        <f t="shared" si="9"/>
        <v>88206.221969989361</v>
      </c>
      <c r="N194" s="1304">
        <v>1748229.4747008712</v>
      </c>
      <c r="O194" s="783">
        <f t="shared" si="10"/>
        <v>88206.221969989361</v>
      </c>
      <c r="P194" s="783">
        <f t="shared" si="11"/>
        <v>0</v>
      </c>
    </row>
    <row r="195" spans="3:16">
      <c r="C195" s="779">
        <f>IF(D181="","-",+C194+1)</f>
        <v>2021</v>
      </c>
      <c r="D195" s="727">
        <f t="shared" si="12"/>
        <v>12084620.405416669</v>
      </c>
      <c r="E195" s="780">
        <f t="shared" si="14"/>
        <v>424021.7686111111</v>
      </c>
      <c r="F195" s="780">
        <f t="shared" si="8"/>
        <v>11660598.636805559</v>
      </c>
      <c r="G195" s="727">
        <f t="shared" si="13"/>
        <v>11872609.521111114</v>
      </c>
      <c r="H195" s="785">
        <f>+J182*G195+E195</f>
        <v>1787731.7681170758</v>
      </c>
      <c r="I195" s="786">
        <f>+J183*G195+E195</f>
        <v>1787731.7681170758</v>
      </c>
      <c r="J195" s="783">
        <f t="shared" si="15"/>
        <v>0</v>
      </c>
      <c r="K195" s="783"/>
      <c r="L195" s="1304">
        <v>1710359.8007120532</v>
      </c>
      <c r="M195" s="783">
        <f t="shared" si="9"/>
        <v>77371.967405022588</v>
      </c>
      <c r="N195" s="1304">
        <v>1710359.8007120532</v>
      </c>
      <c r="O195" s="783">
        <f t="shared" si="10"/>
        <v>77371.967405022588</v>
      </c>
      <c r="P195" s="783">
        <f t="shared" si="11"/>
        <v>0</v>
      </c>
    </row>
    <row r="196" spans="3:16">
      <c r="C196" s="779">
        <f>IF(D181="","-",+C195+1)</f>
        <v>2022</v>
      </c>
      <c r="D196" s="727">
        <f t="shared" si="12"/>
        <v>11660598.636805559</v>
      </c>
      <c r="E196" s="780">
        <f t="shared" si="14"/>
        <v>424021.7686111111</v>
      </c>
      <c r="F196" s="780">
        <f t="shared" si="8"/>
        <v>11236576.868194448</v>
      </c>
      <c r="G196" s="727">
        <f t="shared" si="13"/>
        <v>11448587.752500003</v>
      </c>
      <c r="H196" s="785">
        <f>+J182*G196+E196</f>
        <v>1739027.8395632915</v>
      </c>
      <c r="I196" s="786">
        <f>+J183*G196+E196</f>
        <v>1739027.8395632915</v>
      </c>
      <c r="J196" s="783">
        <f t="shared" si="15"/>
        <v>0</v>
      </c>
      <c r="K196" s="783"/>
      <c r="L196" s="1304">
        <v>1732119.5321513379</v>
      </c>
      <c r="M196" s="783">
        <f t="shared" si="9"/>
        <v>6908.307411953574</v>
      </c>
      <c r="N196" s="1304">
        <v>1732119.5321513379</v>
      </c>
      <c r="O196" s="783">
        <f t="shared" si="10"/>
        <v>6908.307411953574</v>
      </c>
      <c r="P196" s="783">
        <f t="shared" si="11"/>
        <v>0</v>
      </c>
    </row>
    <row r="197" spans="3:16">
      <c r="C197" s="779">
        <f>IF(D181="","-",+C196+1)</f>
        <v>2023</v>
      </c>
      <c r="D197" s="727">
        <f t="shared" si="12"/>
        <v>11236576.868194448</v>
      </c>
      <c r="E197" s="780">
        <f t="shared" si="14"/>
        <v>424021.7686111111</v>
      </c>
      <c r="F197" s="780">
        <f t="shared" si="8"/>
        <v>10812555.099583337</v>
      </c>
      <c r="G197" s="727">
        <f t="shared" si="13"/>
        <v>11024565.983888892</v>
      </c>
      <c r="H197" s="785">
        <f>+J182*G197+E197</f>
        <v>1690323.9110095073</v>
      </c>
      <c r="I197" s="786">
        <f>+J183*G197+E197</f>
        <v>1690323.9110095073</v>
      </c>
      <c r="J197" s="783">
        <f t="shared" si="15"/>
        <v>0</v>
      </c>
      <c r="K197" s="783"/>
      <c r="L197" s="1304"/>
      <c r="M197" s="783">
        <f t="shared" si="9"/>
        <v>0</v>
      </c>
      <c r="N197" s="1304"/>
      <c r="O197" s="783">
        <f t="shared" si="10"/>
        <v>0</v>
      </c>
      <c r="P197" s="783">
        <f t="shared" si="11"/>
        <v>0</v>
      </c>
    </row>
    <row r="198" spans="3:16">
      <c r="C198" s="779">
        <f>IF(D181="","-",+C197+1)</f>
        <v>2024</v>
      </c>
      <c r="D198" s="727">
        <f t="shared" si="12"/>
        <v>10812555.099583337</v>
      </c>
      <c r="E198" s="780">
        <f t="shared" si="14"/>
        <v>424021.7686111111</v>
      </c>
      <c r="F198" s="780">
        <f t="shared" si="8"/>
        <v>10388533.330972226</v>
      </c>
      <c r="G198" s="727">
        <f t="shared" si="13"/>
        <v>10600544.215277782</v>
      </c>
      <c r="H198" s="785">
        <f>+J182*G198+E198</f>
        <v>1641619.9824557225</v>
      </c>
      <c r="I198" s="786">
        <f>+J183*G198+E198</f>
        <v>1641619.9824557225</v>
      </c>
      <c r="J198" s="783">
        <f t="shared" si="15"/>
        <v>0</v>
      </c>
      <c r="K198" s="783"/>
      <c r="L198" s="1304"/>
      <c r="M198" s="783">
        <f t="shared" si="9"/>
        <v>0</v>
      </c>
      <c r="N198" s="1304"/>
      <c r="O198" s="783">
        <f t="shared" si="10"/>
        <v>0</v>
      </c>
      <c r="P198" s="783">
        <f t="shared" si="11"/>
        <v>0</v>
      </c>
    </row>
    <row r="199" spans="3:16">
      <c r="C199" s="779">
        <f>IF(D181="","-",+C198+1)</f>
        <v>2025</v>
      </c>
      <c r="D199" s="727">
        <f t="shared" si="12"/>
        <v>10388533.330972226</v>
      </c>
      <c r="E199" s="780">
        <f t="shared" si="14"/>
        <v>424021.7686111111</v>
      </c>
      <c r="F199" s="780">
        <f t="shared" si="8"/>
        <v>9964511.5623611156</v>
      </c>
      <c r="G199" s="727">
        <f t="shared" si="13"/>
        <v>10176522.446666671</v>
      </c>
      <c r="H199" s="785">
        <f>+J182*G199+E199</f>
        <v>1592916.0539019383</v>
      </c>
      <c r="I199" s="786">
        <f>+J183*G199+E199</f>
        <v>1592916.0539019383</v>
      </c>
      <c r="J199" s="783">
        <f t="shared" si="15"/>
        <v>0</v>
      </c>
      <c r="K199" s="783"/>
      <c r="L199" s="1304"/>
      <c r="M199" s="783">
        <f t="shared" si="9"/>
        <v>0</v>
      </c>
      <c r="N199" s="1304"/>
      <c r="O199" s="783">
        <f t="shared" si="10"/>
        <v>0</v>
      </c>
      <c r="P199" s="783">
        <f t="shared" si="11"/>
        <v>0</v>
      </c>
    </row>
    <row r="200" spans="3:16">
      <c r="C200" s="779">
        <f>IF(D181="","-",+C199+1)</f>
        <v>2026</v>
      </c>
      <c r="D200" s="727">
        <f t="shared" si="12"/>
        <v>9964511.5623611156</v>
      </c>
      <c r="E200" s="780">
        <f t="shared" si="14"/>
        <v>424021.7686111111</v>
      </c>
      <c r="F200" s="780">
        <f t="shared" si="8"/>
        <v>9540489.7937500048</v>
      </c>
      <c r="G200" s="727">
        <f t="shared" si="13"/>
        <v>9752500.6780555602</v>
      </c>
      <c r="H200" s="785">
        <f>+J182*G200+E200</f>
        <v>1544212.125348154</v>
      </c>
      <c r="I200" s="786">
        <f>+J183*G200+E200</f>
        <v>1544212.125348154</v>
      </c>
      <c r="J200" s="783">
        <f t="shared" si="15"/>
        <v>0</v>
      </c>
      <c r="K200" s="783"/>
      <c r="L200" s="1304"/>
      <c r="M200" s="783">
        <f t="shared" si="9"/>
        <v>0</v>
      </c>
      <c r="N200" s="1304"/>
      <c r="O200" s="783">
        <f t="shared" si="10"/>
        <v>0</v>
      </c>
      <c r="P200" s="783">
        <f t="shared" si="11"/>
        <v>0</v>
      </c>
    </row>
    <row r="201" spans="3:16">
      <c r="C201" s="779">
        <f>IF(D181="","-",+C200+1)</f>
        <v>2027</v>
      </c>
      <c r="D201" s="727">
        <f t="shared" si="12"/>
        <v>9540489.7937500048</v>
      </c>
      <c r="E201" s="780">
        <f t="shared" si="14"/>
        <v>424021.7686111111</v>
      </c>
      <c r="F201" s="780">
        <f t="shared" si="8"/>
        <v>9116468.0251388941</v>
      </c>
      <c r="G201" s="727">
        <f t="shared" si="13"/>
        <v>9328478.9094444495</v>
      </c>
      <c r="H201" s="785">
        <f>+J182*G201+E201</f>
        <v>1495508.1967943697</v>
      </c>
      <c r="I201" s="786">
        <f>+J183*G201+E201</f>
        <v>1495508.1967943697</v>
      </c>
      <c r="J201" s="783">
        <f t="shared" si="15"/>
        <v>0</v>
      </c>
      <c r="K201" s="783"/>
      <c r="L201" s="1304"/>
      <c r="M201" s="783">
        <f t="shared" si="9"/>
        <v>0</v>
      </c>
      <c r="N201" s="1304"/>
      <c r="O201" s="783">
        <f t="shared" si="10"/>
        <v>0</v>
      </c>
      <c r="P201" s="783">
        <f t="shared" si="11"/>
        <v>0</v>
      </c>
    </row>
    <row r="202" spans="3:16">
      <c r="C202" s="779">
        <f>IF(D181="","-",+C201+1)</f>
        <v>2028</v>
      </c>
      <c r="D202" s="727">
        <f t="shared" si="12"/>
        <v>9116468.0251388941</v>
      </c>
      <c r="E202" s="780">
        <f t="shared" si="14"/>
        <v>424021.7686111111</v>
      </c>
      <c r="F202" s="780">
        <f t="shared" si="8"/>
        <v>8692446.2565277833</v>
      </c>
      <c r="G202" s="727">
        <f t="shared" si="13"/>
        <v>8904457.1408333387</v>
      </c>
      <c r="H202" s="785">
        <f>+J182*G202+E202</f>
        <v>1446804.268240585</v>
      </c>
      <c r="I202" s="786">
        <f>+J183*G202+E202</f>
        <v>1446804.268240585</v>
      </c>
      <c r="J202" s="783">
        <f t="shared" si="15"/>
        <v>0</v>
      </c>
      <c r="K202" s="783"/>
      <c r="L202" s="1304"/>
      <c r="M202" s="783">
        <f t="shared" si="9"/>
        <v>0</v>
      </c>
      <c r="N202" s="1304"/>
      <c r="O202" s="783">
        <f t="shared" si="10"/>
        <v>0</v>
      </c>
      <c r="P202" s="783">
        <f t="shared" si="11"/>
        <v>0</v>
      </c>
    </row>
    <row r="203" spans="3:16">
      <c r="C203" s="779">
        <f>IF(D181="","-",+C202+1)</f>
        <v>2029</v>
      </c>
      <c r="D203" s="727">
        <f t="shared" si="12"/>
        <v>8692446.2565277833</v>
      </c>
      <c r="E203" s="780">
        <f t="shared" si="14"/>
        <v>424021.7686111111</v>
      </c>
      <c r="F203" s="780">
        <f t="shared" si="8"/>
        <v>8268424.4879166726</v>
      </c>
      <c r="G203" s="727">
        <f t="shared" si="13"/>
        <v>8480435.372222228</v>
      </c>
      <c r="H203" s="785">
        <f>+J182*G203+E203</f>
        <v>1398100.3396868007</v>
      </c>
      <c r="I203" s="786">
        <f>+J183*G203+E203</f>
        <v>1398100.3396868007</v>
      </c>
      <c r="J203" s="783">
        <f t="shared" si="15"/>
        <v>0</v>
      </c>
      <c r="K203" s="783"/>
      <c r="L203" s="1304"/>
      <c r="M203" s="783">
        <f t="shared" si="9"/>
        <v>0</v>
      </c>
      <c r="N203" s="1304"/>
      <c r="O203" s="783">
        <f t="shared" si="10"/>
        <v>0</v>
      </c>
      <c r="P203" s="783">
        <f t="shared" si="11"/>
        <v>0</v>
      </c>
    </row>
    <row r="204" spans="3:16">
      <c r="C204" s="779">
        <f>IF(D181="","-",+C203+1)</f>
        <v>2030</v>
      </c>
      <c r="D204" s="727">
        <f t="shared" si="12"/>
        <v>8268424.4879166726</v>
      </c>
      <c r="E204" s="780">
        <f t="shared" si="14"/>
        <v>424021.7686111111</v>
      </c>
      <c r="F204" s="780">
        <f t="shared" si="8"/>
        <v>7844402.7193055619</v>
      </c>
      <c r="G204" s="727">
        <f t="shared" si="13"/>
        <v>8056413.6036111172</v>
      </c>
      <c r="H204" s="785">
        <f>+J182*G204+E204</f>
        <v>1349396.4111330165</v>
      </c>
      <c r="I204" s="786">
        <f>+J183*G204+E204</f>
        <v>1349396.4111330165</v>
      </c>
      <c r="J204" s="783">
        <f t="shared" si="15"/>
        <v>0</v>
      </c>
      <c r="K204" s="783"/>
      <c r="L204" s="1304"/>
      <c r="M204" s="783">
        <f t="shared" si="9"/>
        <v>0</v>
      </c>
      <c r="N204" s="1304"/>
      <c r="O204" s="783">
        <f t="shared" si="10"/>
        <v>0</v>
      </c>
      <c r="P204" s="783">
        <f t="shared" si="11"/>
        <v>0</v>
      </c>
    </row>
    <row r="205" spans="3:16">
      <c r="C205" s="779">
        <f>IF(D181="","-",+C204+1)</f>
        <v>2031</v>
      </c>
      <c r="D205" s="727">
        <f t="shared" si="12"/>
        <v>7844402.7193055619</v>
      </c>
      <c r="E205" s="780">
        <f t="shared" si="14"/>
        <v>424021.7686111111</v>
      </c>
      <c r="F205" s="780">
        <f t="shared" si="8"/>
        <v>7420380.9506944511</v>
      </c>
      <c r="G205" s="727">
        <f t="shared" si="13"/>
        <v>7632391.8350000065</v>
      </c>
      <c r="H205" s="785">
        <f>+J182*G205+E205</f>
        <v>1300692.482579232</v>
      </c>
      <c r="I205" s="786">
        <f>+J183*G205+E205</f>
        <v>1300692.482579232</v>
      </c>
      <c r="J205" s="783">
        <f t="shared" si="15"/>
        <v>0</v>
      </c>
      <c r="K205" s="783"/>
      <c r="L205" s="1304"/>
      <c r="M205" s="783">
        <f t="shared" si="9"/>
        <v>0</v>
      </c>
      <c r="N205" s="1304"/>
      <c r="O205" s="783">
        <f t="shared" si="10"/>
        <v>0</v>
      </c>
      <c r="P205" s="783">
        <f t="shared" si="11"/>
        <v>0</v>
      </c>
    </row>
    <row r="206" spans="3:16">
      <c r="C206" s="779">
        <f>IF(D181="","-",+C205+1)</f>
        <v>2032</v>
      </c>
      <c r="D206" s="727">
        <f t="shared" si="12"/>
        <v>7420380.9506944511</v>
      </c>
      <c r="E206" s="780">
        <f t="shared" si="14"/>
        <v>424021.7686111111</v>
      </c>
      <c r="F206" s="780">
        <f t="shared" si="8"/>
        <v>6996359.1820833404</v>
      </c>
      <c r="G206" s="727">
        <f t="shared" si="13"/>
        <v>7208370.0663888957</v>
      </c>
      <c r="H206" s="785">
        <f>+J182*G206+E206</f>
        <v>1251988.5540254475</v>
      </c>
      <c r="I206" s="786">
        <f>+J183*G206+E206</f>
        <v>1251988.5540254475</v>
      </c>
      <c r="J206" s="783">
        <f t="shared" si="15"/>
        <v>0</v>
      </c>
      <c r="K206" s="783"/>
      <c r="L206" s="1304"/>
      <c r="M206" s="783">
        <f t="shared" si="9"/>
        <v>0</v>
      </c>
      <c r="N206" s="1304"/>
      <c r="O206" s="783">
        <f t="shared" si="10"/>
        <v>0</v>
      </c>
      <c r="P206" s="783">
        <f t="shared" si="11"/>
        <v>0</v>
      </c>
    </row>
    <row r="207" spans="3:16">
      <c r="C207" s="779">
        <f>IF(D181="","-",+C206+1)</f>
        <v>2033</v>
      </c>
      <c r="D207" s="727">
        <f t="shared" si="12"/>
        <v>6996359.1820833404</v>
      </c>
      <c r="E207" s="780">
        <f t="shared" si="14"/>
        <v>424021.7686111111</v>
      </c>
      <c r="F207" s="780">
        <f t="shared" si="8"/>
        <v>6572337.4134722296</v>
      </c>
      <c r="G207" s="727">
        <f t="shared" si="13"/>
        <v>6784348.297777785</v>
      </c>
      <c r="H207" s="785">
        <f>+J182*G207+E207</f>
        <v>1203284.6254716632</v>
      </c>
      <c r="I207" s="786">
        <f>+J183*G207+E207</f>
        <v>1203284.6254716632</v>
      </c>
      <c r="J207" s="783">
        <f t="shared" si="15"/>
        <v>0</v>
      </c>
      <c r="K207" s="783"/>
      <c r="L207" s="1304"/>
      <c r="M207" s="783">
        <f t="shared" si="9"/>
        <v>0</v>
      </c>
      <c r="N207" s="1304"/>
      <c r="O207" s="783">
        <f t="shared" si="10"/>
        <v>0</v>
      </c>
      <c r="P207" s="783">
        <f t="shared" si="11"/>
        <v>0</v>
      </c>
    </row>
    <row r="208" spans="3:16">
      <c r="C208" s="779">
        <f>IF(D181="","-",+C207+1)</f>
        <v>2034</v>
      </c>
      <c r="D208" s="727">
        <f t="shared" si="12"/>
        <v>6572337.4134722296</v>
      </c>
      <c r="E208" s="780">
        <f t="shared" si="14"/>
        <v>424021.7686111111</v>
      </c>
      <c r="F208" s="780">
        <f t="shared" si="8"/>
        <v>6148315.6448611189</v>
      </c>
      <c r="G208" s="727">
        <f t="shared" si="13"/>
        <v>6360326.5291666742</v>
      </c>
      <c r="H208" s="785">
        <f>+J182*G208+E208</f>
        <v>1154580.6969178787</v>
      </c>
      <c r="I208" s="786">
        <f>+J183*G208+E208</f>
        <v>1154580.6969178787</v>
      </c>
      <c r="J208" s="783">
        <f t="shared" si="15"/>
        <v>0</v>
      </c>
      <c r="K208" s="783"/>
      <c r="L208" s="1304"/>
      <c r="M208" s="783">
        <f t="shared" si="9"/>
        <v>0</v>
      </c>
      <c r="N208" s="1304"/>
      <c r="O208" s="783">
        <f t="shared" si="10"/>
        <v>0</v>
      </c>
      <c r="P208" s="783">
        <f t="shared" si="11"/>
        <v>0</v>
      </c>
    </row>
    <row r="209" spans="3:16">
      <c r="C209" s="779">
        <f>IF(D181="","-",+C208+1)</f>
        <v>2035</v>
      </c>
      <c r="D209" s="727">
        <f t="shared" si="12"/>
        <v>6148315.6448611189</v>
      </c>
      <c r="E209" s="780">
        <f t="shared" si="14"/>
        <v>424021.7686111111</v>
      </c>
      <c r="F209" s="780">
        <f t="shared" si="8"/>
        <v>5724293.8762500081</v>
      </c>
      <c r="G209" s="727">
        <f t="shared" si="13"/>
        <v>5936304.7605555635</v>
      </c>
      <c r="H209" s="785">
        <f>+J182*G209+E209</f>
        <v>1105876.7683640942</v>
      </c>
      <c r="I209" s="786">
        <f>+J183*G209+E209</f>
        <v>1105876.7683640942</v>
      </c>
      <c r="J209" s="783">
        <f t="shared" si="15"/>
        <v>0</v>
      </c>
      <c r="K209" s="783"/>
      <c r="L209" s="1304"/>
      <c r="M209" s="783">
        <f t="shared" si="9"/>
        <v>0</v>
      </c>
      <c r="N209" s="1304"/>
      <c r="O209" s="783">
        <f t="shared" si="10"/>
        <v>0</v>
      </c>
      <c r="P209" s="783">
        <f t="shared" si="11"/>
        <v>0</v>
      </c>
    </row>
    <row r="210" spans="3:16">
      <c r="C210" s="779">
        <f>IF(D181="","-",+C209+1)</f>
        <v>2036</v>
      </c>
      <c r="D210" s="727">
        <f t="shared" si="12"/>
        <v>5724293.8762500081</v>
      </c>
      <c r="E210" s="780">
        <f t="shared" si="14"/>
        <v>424021.7686111111</v>
      </c>
      <c r="F210" s="780">
        <f t="shared" si="8"/>
        <v>5300272.1076388974</v>
      </c>
      <c r="G210" s="727">
        <f t="shared" si="13"/>
        <v>5512282.9919444527</v>
      </c>
      <c r="H210" s="785">
        <f>+J182*G210+E210</f>
        <v>1057172.8398103099</v>
      </c>
      <c r="I210" s="786">
        <f>+J183*G210+E210</f>
        <v>1057172.8398103099</v>
      </c>
      <c r="J210" s="783">
        <f t="shared" si="15"/>
        <v>0</v>
      </c>
      <c r="K210" s="783"/>
      <c r="L210" s="1304"/>
      <c r="M210" s="783">
        <f t="shared" si="9"/>
        <v>0</v>
      </c>
      <c r="N210" s="1304"/>
      <c r="O210" s="783">
        <f t="shared" si="10"/>
        <v>0</v>
      </c>
      <c r="P210" s="783">
        <f t="shared" si="11"/>
        <v>0</v>
      </c>
    </row>
    <row r="211" spans="3:16">
      <c r="C211" s="779">
        <f>IF(D181="","-",+C210+1)</f>
        <v>2037</v>
      </c>
      <c r="D211" s="727">
        <f t="shared" si="12"/>
        <v>5300272.1076388974</v>
      </c>
      <c r="E211" s="780">
        <f t="shared" si="14"/>
        <v>424021.7686111111</v>
      </c>
      <c r="F211" s="780">
        <f t="shared" si="8"/>
        <v>4876250.3390277866</v>
      </c>
      <c r="G211" s="727">
        <f t="shared" si="13"/>
        <v>5088261.223333342</v>
      </c>
      <c r="H211" s="785">
        <f>+J182*G211+E211</f>
        <v>1008468.9112565254</v>
      </c>
      <c r="I211" s="786">
        <f>+J183*G211+E211</f>
        <v>1008468.9112565254</v>
      </c>
      <c r="J211" s="783">
        <f t="shared" si="15"/>
        <v>0</v>
      </c>
      <c r="K211" s="783"/>
      <c r="L211" s="1304"/>
      <c r="M211" s="783">
        <f t="shared" si="9"/>
        <v>0</v>
      </c>
      <c r="N211" s="1304"/>
      <c r="O211" s="783">
        <f t="shared" si="10"/>
        <v>0</v>
      </c>
      <c r="P211" s="783">
        <f t="shared" si="11"/>
        <v>0</v>
      </c>
    </row>
    <row r="212" spans="3:16">
      <c r="C212" s="779">
        <f>IF(D181="","-",+C211+1)</f>
        <v>2038</v>
      </c>
      <c r="D212" s="727">
        <f t="shared" si="12"/>
        <v>4876250.3390277866</v>
      </c>
      <c r="E212" s="780">
        <f t="shared" si="14"/>
        <v>424021.7686111111</v>
      </c>
      <c r="F212" s="780">
        <f t="shared" si="8"/>
        <v>4452228.5704166759</v>
      </c>
      <c r="G212" s="727">
        <f t="shared" si="13"/>
        <v>4664239.4547222313</v>
      </c>
      <c r="H212" s="785">
        <f>+J182*G212+E212</f>
        <v>959764.98270274105</v>
      </c>
      <c r="I212" s="786">
        <f>+J183*G212+E212</f>
        <v>959764.98270274105</v>
      </c>
      <c r="J212" s="783">
        <f t="shared" si="15"/>
        <v>0</v>
      </c>
      <c r="K212" s="783"/>
      <c r="L212" s="1304"/>
      <c r="M212" s="783">
        <f t="shared" si="9"/>
        <v>0</v>
      </c>
      <c r="N212" s="1304"/>
      <c r="O212" s="783">
        <f t="shared" si="10"/>
        <v>0</v>
      </c>
      <c r="P212" s="783">
        <f t="shared" si="11"/>
        <v>0</v>
      </c>
    </row>
    <row r="213" spans="3:16">
      <c r="C213" s="779">
        <f>IF(D181="","-",+C212+1)</f>
        <v>2039</v>
      </c>
      <c r="D213" s="727">
        <f t="shared" si="12"/>
        <v>4452228.5704166759</v>
      </c>
      <c r="E213" s="780">
        <f t="shared" si="14"/>
        <v>424021.7686111111</v>
      </c>
      <c r="F213" s="780">
        <f t="shared" si="8"/>
        <v>4028206.8018055647</v>
      </c>
      <c r="G213" s="727">
        <f t="shared" si="13"/>
        <v>4240217.6861111205</v>
      </c>
      <c r="H213" s="785">
        <f>+J182*G213+E213</f>
        <v>911061.05414895667</v>
      </c>
      <c r="I213" s="786">
        <f>+J183*G213+E213</f>
        <v>911061.05414895667</v>
      </c>
      <c r="J213" s="783">
        <f t="shared" si="15"/>
        <v>0</v>
      </c>
      <c r="K213" s="783"/>
      <c r="L213" s="1304"/>
      <c r="M213" s="783">
        <f t="shared" si="9"/>
        <v>0</v>
      </c>
      <c r="N213" s="1304"/>
      <c r="O213" s="783">
        <f t="shared" si="10"/>
        <v>0</v>
      </c>
      <c r="P213" s="783">
        <f t="shared" si="11"/>
        <v>0</v>
      </c>
    </row>
    <row r="214" spans="3:16">
      <c r="C214" s="779">
        <f>IF(D181="","-",+C213+1)</f>
        <v>2040</v>
      </c>
      <c r="D214" s="727">
        <f t="shared" si="12"/>
        <v>4028206.8018055647</v>
      </c>
      <c r="E214" s="780">
        <f t="shared" si="14"/>
        <v>424021.7686111111</v>
      </c>
      <c r="F214" s="780">
        <f t="shared" si="8"/>
        <v>3604185.0331944535</v>
      </c>
      <c r="G214" s="727">
        <f t="shared" si="13"/>
        <v>3816195.9175000088</v>
      </c>
      <c r="H214" s="785">
        <f>+J182*G214+E214</f>
        <v>862357.12559517217</v>
      </c>
      <c r="I214" s="786">
        <f>+J183*G214+E214</f>
        <v>862357.12559517217</v>
      </c>
      <c r="J214" s="783">
        <f t="shared" si="15"/>
        <v>0</v>
      </c>
      <c r="K214" s="783"/>
      <c r="L214" s="1304"/>
      <c r="M214" s="783">
        <f t="shared" si="9"/>
        <v>0</v>
      </c>
      <c r="N214" s="1304"/>
      <c r="O214" s="783">
        <f t="shared" si="10"/>
        <v>0</v>
      </c>
      <c r="P214" s="783">
        <f t="shared" si="11"/>
        <v>0</v>
      </c>
    </row>
    <row r="215" spans="3:16">
      <c r="C215" s="779">
        <f>IF(D181="","-",+C214+1)</f>
        <v>2041</v>
      </c>
      <c r="D215" s="727">
        <f t="shared" si="12"/>
        <v>3604185.0331944535</v>
      </c>
      <c r="E215" s="780">
        <f t="shared" si="14"/>
        <v>424021.7686111111</v>
      </c>
      <c r="F215" s="780">
        <f t="shared" si="8"/>
        <v>3180163.2645833422</v>
      </c>
      <c r="G215" s="727">
        <f t="shared" si="13"/>
        <v>3392174.1488888981</v>
      </c>
      <c r="H215" s="785">
        <f>+J182*G215+E215</f>
        <v>813653.19704138767</v>
      </c>
      <c r="I215" s="786">
        <f>+J183*G215+E215</f>
        <v>813653.19704138767</v>
      </c>
      <c r="J215" s="783">
        <f t="shared" si="15"/>
        <v>0</v>
      </c>
      <c r="K215" s="783"/>
      <c r="L215" s="1304"/>
      <c r="M215" s="783">
        <f t="shared" si="9"/>
        <v>0</v>
      </c>
      <c r="N215" s="1304"/>
      <c r="O215" s="783">
        <f t="shared" si="10"/>
        <v>0</v>
      </c>
      <c r="P215" s="783">
        <f t="shared" si="11"/>
        <v>0</v>
      </c>
    </row>
    <row r="216" spans="3:16">
      <c r="C216" s="779">
        <f>IF(D181="","-",+C215+1)</f>
        <v>2042</v>
      </c>
      <c r="D216" s="727">
        <f t="shared" si="12"/>
        <v>3180163.2645833422</v>
      </c>
      <c r="E216" s="780">
        <f t="shared" si="14"/>
        <v>424021.7686111111</v>
      </c>
      <c r="F216" s="780">
        <f t="shared" si="8"/>
        <v>2756141.495972231</v>
      </c>
      <c r="G216" s="727">
        <f t="shared" si="13"/>
        <v>2968152.3802777864</v>
      </c>
      <c r="H216" s="785">
        <f>+J182*G216+E216</f>
        <v>764949.26848760317</v>
      </c>
      <c r="I216" s="786">
        <f>+J183*G216+E216</f>
        <v>764949.26848760317</v>
      </c>
      <c r="J216" s="783">
        <f t="shared" si="15"/>
        <v>0</v>
      </c>
      <c r="K216" s="783"/>
      <c r="L216" s="1304"/>
      <c r="M216" s="783">
        <f t="shared" si="9"/>
        <v>0</v>
      </c>
      <c r="N216" s="1304"/>
      <c r="O216" s="783">
        <f t="shared" si="10"/>
        <v>0</v>
      </c>
      <c r="P216" s="783">
        <f t="shared" si="11"/>
        <v>0</v>
      </c>
    </row>
    <row r="217" spans="3:16">
      <c r="C217" s="779">
        <f>IF(D181="","-",+C216+1)</f>
        <v>2043</v>
      </c>
      <c r="D217" s="727">
        <f t="shared" si="12"/>
        <v>2756141.495972231</v>
      </c>
      <c r="E217" s="780">
        <f t="shared" si="14"/>
        <v>424021.7686111111</v>
      </c>
      <c r="F217" s="780">
        <f t="shared" si="8"/>
        <v>2332119.7273611198</v>
      </c>
      <c r="G217" s="727">
        <f t="shared" si="13"/>
        <v>2544130.6116666757</v>
      </c>
      <c r="H217" s="785">
        <f>+J182*G217+E217</f>
        <v>716245.3399338189</v>
      </c>
      <c r="I217" s="786">
        <f>+J183*G217+E217</f>
        <v>716245.3399338189</v>
      </c>
      <c r="J217" s="783">
        <f t="shared" si="15"/>
        <v>0</v>
      </c>
      <c r="K217" s="783"/>
      <c r="L217" s="1304"/>
      <c r="M217" s="783">
        <f t="shared" si="9"/>
        <v>0</v>
      </c>
      <c r="N217" s="1304"/>
      <c r="O217" s="783">
        <f t="shared" si="10"/>
        <v>0</v>
      </c>
      <c r="P217" s="783">
        <f t="shared" si="11"/>
        <v>0</v>
      </c>
    </row>
    <row r="218" spans="3:16">
      <c r="C218" s="779">
        <f>IF(D181="","-",+C217+1)</f>
        <v>2044</v>
      </c>
      <c r="D218" s="727">
        <f t="shared" si="12"/>
        <v>2332119.7273611198</v>
      </c>
      <c r="E218" s="780">
        <f t="shared" si="14"/>
        <v>424021.7686111111</v>
      </c>
      <c r="F218" s="780">
        <f t="shared" si="8"/>
        <v>1908097.9587500086</v>
      </c>
      <c r="G218" s="727">
        <f t="shared" si="13"/>
        <v>2120108.843055564</v>
      </c>
      <c r="H218" s="785">
        <f>+J182*G218+E218</f>
        <v>667541.41138003429</v>
      </c>
      <c r="I218" s="786">
        <f>+J183*G218+E218</f>
        <v>667541.41138003429</v>
      </c>
      <c r="J218" s="783">
        <f t="shared" si="15"/>
        <v>0</v>
      </c>
      <c r="K218" s="783"/>
      <c r="L218" s="1304"/>
      <c r="M218" s="783">
        <f t="shared" si="9"/>
        <v>0</v>
      </c>
      <c r="N218" s="1304"/>
      <c r="O218" s="783">
        <f t="shared" si="10"/>
        <v>0</v>
      </c>
      <c r="P218" s="783">
        <f t="shared" si="11"/>
        <v>0</v>
      </c>
    </row>
    <row r="219" spans="3:16">
      <c r="C219" s="779">
        <f>IF(D181="","-",+C218+1)</f>
        <v>2045</v>
      </c>
      <c r="D219" s="727">
        <f t="shared" si="12"/>
        <v>1908097.9587500086</v>
      </c>
      <c r="E219" s="780">
        <f t="shared" si="14"/>
        <v>424021.7686111111</v>
      </c>
      <c r="F219" s="780">
        <f t="shared" si="8"/>
        <v>1484076.1901388974</v>
      </c>
      <c r="G219" s="727">
        <f t="shared" si="13"/>
        <v>1696087.074444453</v>
      </c>
      <c r="H219" s="785">
        <f>+J182*G219+E219</f>
        <v>618837.48282624991</v>
      </c>
      <c r="I219" s="786">
        <f>+J183*G219+E219</f>
        <v>618837.48282624991</v>
      </c>
      <c r="J219" s="783">
        <f t="shared" si="15"/>
        <v>0</v>
      </c>
      <c r="K219" s="783"/>
      <c r="L219" s="1304"/>
      <c r="M219" s="783">
        <f t="shared" si="9"/>
        <v>0</v>
      </c>
      <c r="N219" s="1304"/>
      <c r="O219" s="783">
        <f t="shared" si="10"/>
        <v>0</v>
      </c>
      <c r="P219" s="783">
        <f t="shared" si="11"/>
        <v>0</v>
      </c>
    </row>
    <row r="220" spans="3:16">
      <c r="C220" s="779">
        <f>IF(D181="","-",+C219+1)</f>
        <v>2046</v>
      </c>
      <c r="D220" s="727">
        <f t="shared" si="12"/>
        <v>1484076.1901388974</v>
      </c>
      <c r="E220" s="780">
        <f t="shared" si="14"/>
        <v>424021.7686111111</v>
      </c>
      <c r="F220" s="780">
        <f t="shared" si="8"/>
        <v>1060054.4215277862</v>
      </c>
      <c r="G220" s="727">
        <f t="shared" si="13"/>
        <v>1272065.3058333418</v>
      </c>
      <c r="H220" s="785">
        <f>+J182*G220+E220</f>
        <v>570133.55427246541</v>
      </c>
      <c r="I220" s="786">
        <f>+J183*G220+E220</f>
        <v>570133.55427246541</v>
      </c>
      <c r="J220" s="783">
        <f t="shared" si="15"/>
        <v>0</v>
      </c>
      <c r="K220" s="783"/>
      <c r="L220" s="1304"/>
      <c r="M220" s="783">
        <f t="shared" si="9"/>
        <v>0</v>
      </c>
      <c r="N220" s="1304"/>
      <c r="O220" s="783">
        <f t="shared" si="10"/>
        <v>0</v>
      </c>
      <c r="P220" s="783">
        <f t="shared" si="11"/>
        <v>0</v>
      </c>
    </row>
    <row r="221" spans="3:16">
      <c r="C221" s="779">
        <f>IF(D181="","-",+C220+1)</f>
        <v>2047</v>
      </c>
      <c r="D221" s="727">
        <f t="shared" si="12"/>
        <v>1060054.4215277862</v>
      </c>
      <c r="E221" s="780">
        <f t="shared" si="14"/>
        <v>424021.7686111111</v>
      </c>
      <c r="F221" s="780">
        <f t="shared" si="8"/>
        <v>636032.65291667508</v>
      </c>
      <c r="G221" s="727">
        <f t="shared" si="13"/>
        <v>848043.53722223057</v>
      </c>
      <c r="H221" s="785">
        <f>+J182*G221+E221</f>
        <v>521429.62571868097</v>
      </c>
      <c r="I221" s="786">
        <f>+J183*G221+E221</f>
        <v>521429.62571868097</v>
      </c>
      <c r="J221" s="783">
        <f t="shared" si="15"/>
        <v>0</v>
      </c>
      <c r="K221" s="783"/>
      <c r="L221" s="1304"/>
      <c r="M221" s="783">
        <f t="shared" si="9"/>
        <v>0</v>
      </c>
      <c r="N221" s="1304"/>
      <c r="O221" s="783">
        <f t="shared" si="10"/>
        <v>0</v>
      </c>
      <c r="P221" s="783">
        <f t="shared" si="11"/>
        <v>0</v>
      </c>
    </row>
    <row r="222" spans="3:16">
      <c r="C222" s="779">
        <f>IF(D181="","-",+C221+1)</f>
        <v>2048</v>
      </c>
      <c r="D222" s="727">
        <f t="shared" si="12"/>
        <v>636032.65291667508</v>
      </c>
      <c r="E222" s="780">
        <f t="shared" si="14"/>
        <v>424021.7686111111</v>
      </c>
      <c r="F222" s="780">
        <f t="shared" si="8"/>
        <v>212010.88430556399</v>
      </c>
      <c r="G222" s="727">
        <f t="shared" si="13"/>
        <v>424021.76861111954</v>
      </c>
      <c r="H222" s="785">
        <f>+J182*G222+E222</f>
        <v>472725.69716489653</v>
      </c>
      <c r="I222" s="786">
        <f>+J183*G222+E222</f>
        <v>472725.69716489653</v>
      </c>
      <c r="J222" s="783">
        <f t="shared" si="15"/>
        <v>0</v>
      </c>
      <c r="K222" s="783"/>
      <c r="L222" s="1304"/>
      <c r="M222" s="783">
        <f t="shared" si="9"/>
        <v>0</v>
      </c>
      <c r="N222" s="1304"/>
      <c r="O222" s="783">
        <f t="shared" si="10"/>
        <v>0</v>
      </c>
      <c r="P222" s="783">
        <f t="shared" si="11"/>
        <v>0</v>
      </c>
    </row>
    <row r="223" spans="3:16">
      <c r="C223" s="779">
        <f>IF(D181="","-",+C222+1)</f>
        <v>2049</v>
      </c>
      <c r="D223" s="727">
        <f t="shared" si="12"/>
        <v>212010.88430556399</v>
      </c>
      <c r="E223" s="780">
        <f t="shared" si="14"/>
        <v>212010.88430556399</v>
      </c>
      <c r="F223" s="780">
        <f t="shared" si="8"/>
        <v>0</v>
      </c>
      <c r="G223" s="727">
        <f t="shared" si="13"/>
        <v>106005.44215278199</v>
      </c>
      <c r="H223" s="785">
        <f>+J182*G223+E223</f>
        <v>224186.86644401058</v>
      </c>
      <c r="I223" s="786">
        <f>+J183*G223+E223</f>
        <v>224186.86644401058</v>
      </c>
      <c r="J223" s="783">
        <f t="shared" si="15"/>
        <v>0</v>
      </c>
      <c r="K223" s="783"/>
      <c r="L223" s="1304"/>
      <c r="M223" s="783">
        <f t="shared" si="9"/>
        <v>0</v>
      </c>
      <c r="N223" s="1304"/>
      <c r="O223" s="783">
        <f t="shared" si="10"/>
        <v>0</v>
      </c>
      <c r="P223" s="783">
        <f t="shared" si="11"/>
        <v>0</v>
      </c>
    </row>
    <row r="224" spans="3:16">
      <c r="C224" s="779">
        <f>IF(D181="","-",+C223+1)</f>
        <v>2050</v>
      </c>
      <c r="D224" s="727">
        <f t="shared" si="12"/>
        <v>0</v>
      </c>
      <c r="E224" s="780">
        <f t="shared" si="14"/>
        <v>0</v>
      </c>
      <c r="F224" s="780">
        <f t="shared" si="8"/>
        <v>0</v>
      </c>
      <c r="G224" s="727">
        <f t="shared" si="13"/>
        <v>0</v>
      </c>
      <c r="H224" s="785">
        <f>+J182*G224+E224</f>
        <v>0</v>
      </c>
      <c r="I224" s="786">
        <f>+J183*G224+E224</f>
        <v>0</v>
      </c>
      <c r="J224" s="783">
        <f t="shared" si="15"/>
        <v>0</v>
      </c>
      <c r="K224" s="783"/>
      <c r="L224" s="1304"/>
      <c r="M224" s="783">
        <f t="shared" si="9"/>
        <v>0</v>
      </c>
      <c r="N224" s="1304"/>
      <c r="O224" s="783">
        <f t="shared" si="10"/>
        <v>0</v>
      </c>
      <c r="P224" s="783">
        <f t="shared" si="11"/>
        <v>0</v>
      </c>
    </row>
    <row r="225" spans="3:16">
      <c r="C225" s="779">
        <f>IF(D181="","-",+C224+1)</f>
        <v>2051</v>
      </c>
      <c r="D225" s="727">
        <f t="shared" si="12"/>
        <v>0</v>
      </c>
      <c r="E225" s="780">
        <f t="shared" si="14"/>
        <v>0</v>
      </c>
      <c r="F225" s="780">
        <f t="shared" si="8"/>
        <v>0</v>
      </c>
      <c r="G225" s="727">
        <f t="shared" si="13"/>
        <v>0</v>
      </c>
      <c r="H225" s="785">
        <f>+J182*G225+E225</f>
        <v>0</v>
      </c>
      <c r="I225" s="786">
        <f>+J183*G225+E225</f>
        <v>0</v>
      </c>
      <c r="J225" s="783">
        <f t="shared" si="15"/>
        <v>0</v>
      </c>
      <c r="K225" s="783"/>
      <c r="L225" s="1304"/>
      <c r="M225" s="783">
        <f t="shared" si="9"/>
        <v>0</v>
      </c>
      <c r="N225" s="1304"/>
      <c r="O225" s="783">
        <f t="shared" si="10"/>
        <v>0</v>
      </c>
      <c r="P225" s="783">
        <f t="shared" si="11"/>
        <v>0</v>
      </c>
    </row>
    <row r="226" spans="3:16">
      <c r="C226" s="779">
        <f>IF(D181="","-",+C225+1)</f>
        <v>2052</v>
      </c>
      <c r="D226" s="727">
        <f t="shared" si="12"/>
        <v>0</v>
      </c>
      <c r="E226" s="780">
        <f t="shared" si="14"/>
        <v>0</v>
      </c>
      <c r="F226" s="780">
        <f t="shared" si="8"/>
        <v>0</v>
      </c>
      <c r="G226" s="727">
        <f t="shared" si="13"/>
        <v>0</v>
      </c>
      <c r="H226" s="785">
        <f>+J182*G226+E226</f>
        <v>0</v>
      </c>
      <c r="I226" s="786">
        <f>+J183*G226+E226</f>
        <v>0</v>
      </c>
      <c r="J226" s="783">
        <f t="shared" si="15"/>
        <v>0</v>
      </c>
      <c r="K226" s="783"/>
      <c r="L226" s="1304"/>
      <c r="M226" s="783">
        <f t="shared" si="9"/>
        <v>0</v>
      </c>
      <c r="N226" s="1304"/>
      <c r="O226" s="783">
        <f t="shared" si="10"/>
        <v>0</v>
      </c>
      <c r="P226" s="783">
        <f t="shared" si="11"/>
        <v>0</v>
      </c>
    </row>
    <row r="227" spans="3:16">
      <c r="C227" s="779">
        <f>IF(D181="","-",+C226+1)</f>
        <v>2053</v>
      </c>
      <c r="D227" s="727">
        <f t="shared" si="12"/>
        <v>0</v>
      </c>
      <c r="E227" s="780">
        <f t="shared" si="14"/>
        <v>0</v>
      </c>
      <c r="F227" s="780">
        <f t="shared" si="8"/>
        <v>0</v>
      </c>
      <c r="G227" s="727">
        <f t="shared" si="13"/>
        <v>0</v>
      </c>
      <c r="H227" s="785">
        <f>+J182*G227+E227</f>
        <v>0</v>
      </c>
      <c r="I227" s="786">
        <f>+J183*G227+E227</f>
        <v>0</v>
      </c>
      <c r="J227" s="783">
        <f t="shared" si="15"/>
        <v>0</v>
      </c>
      <c r="K227" s="783"/>
      <c r="L227" s="1304"/>
      <c r="M227" s="783">
        <f t="shared" si="9"/>
        <v>0</v>
      </c>
      <c r="N227" s="1304"/>
      <c r="O227" s="783">
        <f t="shared" si="10"/>
        <v>0</v>
      </c>
      <c r="P227" s="783">
        <f t="shared" si="11"/>
        <v>0</v>
      </c>
    </row>
    <row r="228" spans="3:16">
      <c r="C228" s="779">
        <f>IF(D181="","-",+C227+1)</f>
        <v>2054</v>
      </c>
      <c r="D228" s="727">
        <f t="shared" si="12"/>
        <v>0</v>
      </c>
      <c r="E228" s="780">
        <f t="shared" si="14"/>
        <v>0</v>
      </c>
      <c r="F228" s="780">
        <f t="shared" si="8"/>
        <v>0</v>
      </c>
      <c r="G228" s="727">
        <f t="shared" si="13"/>
        <v>0</v>
      </c>
      <c r="H228" s="785">
        <f>+J182*G228+E228</f>
        <v>0</v>
      </c>
      <c r="I228" s="786">
        <f>+J183*G228+E228</f>
        <v>0</v>
      </c>
      <c r="J228" s="783">
        <f t="shared" si="15"/>
        <v>0</v>
      </c>
      <c r="K228" s="783"/>
      <c r="L228" s="1304"/>
      <c r="M228" s="783">
        <f t="shared" si="9"/>
        <v>0</v>
      </c>
      <c r="N228" s="1304"/>
      <c r="O228" s="783">
        <f t="shared" si="10"/>
        <v>0</v>
      </c>
      <c r="P228" s="783">
        <f t="shared" si="11"/>
        <v>0</v>
      </c>
    </row>
    <row r="229" spans="3:16">
      <c r="C229" s="779">
        <f>IF(D181="","-",+C228+1)</f>
        <v>2055</v>
      </c>
      <c r="D229" s="727">
        <f t="shared" si="12"/>
        <v>0</v>
      </c>
      <c r="E229" s="780">
        <f t="shared" si="14"/>
        <v>0</v>
      </c>
      <c r="F229" s="780">
        <f t="shared" si="8"/>
        <v>0</v>
      </c>
      <c r="G229" s="727">
        <f t="shared" si="13"/>
        <v>0</v>
      </c>
      <c r="H229" s="785">
        <f>+J182*G229+E229</f>
        <v>0</v>
      </c>
      <c r="I229" s="786">
        <f>+J183*G229+E229</f>
        <v>0</v>
      </c>
      <c r="J229" s="783">
        <f t="shared" si="15"/>
        <v>0</v>
      </c>
      <c r="K229" s="783"/>
      <c r="L229" s="1304"/>
      <c r="M229" s="783">
        <f t="shared" si="9"/>
        <v>0</v>
      </c>
      <c r="N229" s="1304"/>
      <c r="O229" s="783">
        <f t="shared" si="10"/>
        <v>0</v>
      </c>
      <c r="P229" s="783">
        <f t="shared" si="11"/>
        <v>0</v>
      </c>
    </row>
    <row r="230" spans="3:16">
      <c r="C230" s="779">
        <f>IF(D181="","-",+C229+1)</f>
        <v>2056</v>
      </c>
      <c r="D230" s="727">
        <f t="shared" si="12"/>
        <v>0</v>
      </c>
      <c r="E230" s="780">
        <f t="shared" si="14"/>
        <v>0</v>
      </c>
      <c r="F230" s="780">
        <f t="shared" si="8"/>
        <v>0</v>
      </c>
      <c r="G230" s="727">
        <f t="shared" si="13"/>
        <v>0</v>
      </c>
      <c r="H230" s="785">
        <f>+J182*G230+E230</f>
        <v>0</v>
      </c>
      <c r="I230" s="786">
        <f>+J183*G230+E230</f>
        <v>0</v>
      </c>
      <c r="J230" s="783">
        <f t="shared" si="15"/>
        <v>0</v>
      </c>
      <c r="K230" s="783"/>
      <c r="L230" s="1304"/>
      <c r="M230" s="783">
        <f t="shared" si="9"/>
        <v>0</v>
      </c>
      <c r="N230" s="1304"/>
      <c r="O230" s="783">
        <f t="shared" si="10"/>
        <v>0</v>
      </c>
      <c r="P230" s="783">
        <f t="shared" si="11"/>
        <v>0</v>
      </c>
    </row>
    <row r="231" spans="3:16">
      <c r="C231" s="779">
        <f>IF(D181="","-",+C230+1)</f>
        <v>2057</v>
      </c>
      <c r="D231" s="727">
        <f t="shared" si="12"/>
        <v>0</v>
      </c>
      <c r="E231" s="780">
        <f t="shared" si="14"/>
        <v>0</v>
      </c>
      <c r="F231" s="780">
        <f t="shared" si="8"/>
        <v>0</v>
      </c>
      <c r="G231" s="727">
        <f t="shared" si="13"/>
        <v>0</v>
      </c>
      <c r="H231" s="785">
        <f>+J182*G231+E231</f>
        <v>0</v>
      </c>
      <c r="I231" s="786">
        <f>+J183*G231+E231</f>
        <v>0</v>
      </c>
      <c r="J231" s="783">
        <f t="shared" si="15"/>
        <v>0</v>
      </c>
      <c r="K231" s="783"/>
      <c r="L231" s="1304"/>
      <c r="M231" s="783">
        <f t="shared" si="9"/>
        <v>0</v>
      </c>
      <c r="N231" s="1304"/>
      <c r="O231" s="783">
        <f t="shared" si="10"/>
        <v>0</v>
      </c>
      <c r="P231" s="783">
        <f t="shared" si="11"/>
        <v>0</v>
      </c>
    </row>
    <row r="232" spans="3:16">
      <c r="C232" s="779">
        <f>IF(D181="","-",+C231+1)</f>
        <v>2058</v>
      </c>
      <c r="D232" s="727">
        <f t="shared" si="12"/>
        <v>0</v>
      </c>
      <c r="E232" s="780">
        <f t="shared" si="14"/>
        <v>0</v>
      </c>
      <c r="F232" s="780">
        <f t="shared" si="8"/>
        <v>0</v>
      </c>
      <c r="G232" s="727">
        <f t="shared" si="13"/>
        <v>0</v>
      </c>
      <c r="H232" s="785">
        <f>+J182*G232+E232</f>
        <v>0</v>
      </c>
      <c r="I232" s="786">
        <f>+J183*G232+E232</f>
        <v>0</v>
      </c>
      <c r="J232" s="783">
        <f t="shared" si="15"/>
        <v>0</v>
      </c>
      <c r="K232" s="783"/>
      <c r="L232" s="1304"/>
      <c r="M232" s="783">
        <f t="shared" si="9"/>
        <v>0</v>
      </c>
      <c r="N232" s="1304"/>
      <c r="O232" s="783">
        <f t="shared" si="10"/>
        <v>0</v>
      </c>
      <c r="P232" s="783">
        <f t="shared" si="11"/>
        <v>0</v>
      </c>
    </row>
    <row r="233" spans="3:16">
      <c r="C233" s="779">
        <f>IF(D181="","-",+C232+1)</f>
        <v>2059</v>
      </c>
      <c r="D233" s="727">
        <f t="shared" si="12"/>
        <v>0</v>
      </c>
      <c r="E233" s="780">
        <f t="shared" si="14"/>
        <v>0</v>
      </c>
      <c r="F233" s="780">
        <f t="shared" si="8"/>
        <v>0</v>
      </c>
      <c r="G233" s="727">
        <f t="shared" si="13"/>
        <v>0</v>
      </c>
      <c r="H233" s="785">
        <f>+J182*G233+E233</f>
        <v>0</v>
      </c>
      <c r="I233" s="786">
        <f>+J183*G233+E233</f>
        <v>0</v>
      </c>
      <c r="J233" s="783">
        <f t="shared" si="15"/>
        <v>0</v>
      </c>
      <c r="K233" s="783"/>
      <c r="L233" s="1304"/>
      <c r="M233" s="783">
        <f t="shared" si="9"/>
        <v>0</v>
      </c>
      <c r="N233" s="1304"/>
      <c r="O233" s="783">
        <f t="shared" si="10"/>
        <v>0</v>
      </c>
      <c r="P233" s="783">
        <f t="shared" si="11"/>
        <v>0</v>
      </c>
    </row>
    <row r="234" spans="3:16">
      <c r="C234" s="779">
        <f>IF(D181="","-",+C233+1)</f>
        <v>2060</v>
      </c>
      <c r="D234" s="727">
        <f t="shared" si="12"/>
        <v>0</v>
      </c>
      <c r="E234" s="780">
        <f t="shared" si="14"/>
        <v>0</v>
      </c>
      <c r="F234" s="780">
        <f t="shared" si="8"/>
        <v>0</v>
      </c>
      <c r="G234" s="727">
        <f t="shared" si="13"/>
        <v>0</v>
      </c>
      <c r="H234" s="785">
        <f>+J182*G234+E234</f>
        <v>0</v>
      </c>
      <c r="I234" s="786">
        <f>+J183*G234+E234</f>
        <v>0</v>
      </c>
      <c r="J234" s="783">
        <f t="shared" si="15"/>
        <v>0</v>
      </c>
      <c r="K234" s="783"/>
      <c r="L234" s="1304"/>
      <c r="M234" s="783">
        <f t="shared" si="9"/>
        <v>0</v>
      </c>
      <c r="N234" s="1304"/>
      <c r="O234" s="783">
        <f t="shared" si="10"/>
        <v>0</v>
      </c>
      <c r="P234" s="783">
        <f t="shared" si="11"/>
        <v>0</v>
      </c>
    </row>
    <row r="235" spans="3:16">
      <c r="C235" s="779">
        <f>IF(D181="","-",+C234+1)</f>
        <v>2061</v>
      </c>
      <c r="D235" s="727">
        <f t="shared" si="12"/>
        <v>0</v>
      </c>
      <c r="E235" s="780">
        <f t="shared" si="14"/>
        <v>0</v>
      </c>
      <c r="F235" s="780">
        <f t="shared" si="8"/>
        <v>0</v>
      </c>
      <c r="G235" s="727">
        <f t="shared" si="13"/>
        <v>0</v>
      </c>
      <c r="H235" s="785">
        <f>+J182*G235+E235</f>
        <v>0</v>
      </c>
      <c r="I235" s="786">
        <f>+J183*G235+E235</f>
        <v>0</v>
      </c>
      <c r="J235" s="783">
        <f t="shared" si="15"/>
        <v>0</v>
      </c>
      <c r="K235" s="783"/>
      <c r="L235" s="1304"/>
      <c r="M235" s="783">
        <f t="shared" si="9"/>
        <v>0</v>
      </c>
      <c r="N235" s="1304"/>
      <c r="O235" s="783">
        <f t="shared" si="10"/>
        <v>0</v>
      </c>
      <c r="P235" s="783">
        <f t="shared" si="11"/>
        <v>0</v>
      </c>
    </row>
    <row r="236" spans="3:16">
      <c r="C236" s="779">
        <f>IF(D181="","-",+C235+1)</f>
        <v>2062</v>
      </c>
      <c r="D236" s="727">
        <f t="shared" si="12"/>
        <v>0</v>
      </c>
      <c r="E236" s="780">
        <f t="shared" si="14"/>
        <v>0</v>
      </c>
      <c r="F236" s="780">
        <f t="shared" si="8"/>
        <v>0</v>
      </c>
      <c r="G236" s="727">
        <f t="shared" si="13"/>
        <v>0</v>
      </c>
      <c r="H236" s="785">
        <f>+J182*G236+E236</f>
        <v>0</v>
      </c>
      <c r="I236" s="786">
        <f>+J183*G236+E236</f>
        <v>0</v>
      </c>
      <c r="J236" s="783">
        <f t="shared" si="15"/>
        <v>0</v>
      </c>
      <c r="K236" s="783"/>
      <c r="L236" s="1304"/>
      <c r="M236" s="783">
        <f t="shared" si="9"/>
        <v>0</v>
      </c>
      <c r="N236" s="1304"/>
      <c r="O236" s="783">
        <f t="shared" si="10"/>
        <v>0</v>
      </c>
      <c r="P236" s="783">
        <f t="shared" si="11"/>
        <v>0</v>
      </c>
    </row>
    <row r="237" spans="3:16">
      <c r="C237" s="779">
        <f>IF(D181="","-",+C236+1)</f>
        <v>2063</v>
      </c>
      <c r="D237" s="727">
        <f t="shared" si="12"/>
        <v>0</v>
      </c>
      <c r="E237" s="780">
        <f t="shared" si="14"/>
        <v>0</v>
      </c>
      <c r="F237" s="780">
        <f t="shared" si="8"/>
        <v>0</v>
      </c>
      <c r="G237" s="727">
        <f t="shared" si="13"/>
        <v>0</v>
      </c>
      <c r="H237" s="785">
        <f>+J182*G237+E237</f>
        <v>0</v>
      </c>
      <c r="I237" s="786">
        <f>+J183*G237+E237</f>
        <v>0</v>
      </c>
      <c r="J237" s="783">
        <f t="shared" si="15"/>
        <v>0</v>
      </c>
      <c r="K237" s="783"/>
      <c r="L237" s="1304"/>
      <c r="M237" s="783">
        <f t="shared" si="9"/>
        <v>0</v>
      </c>
      <c r="N237" s="1304"/>
      <c r="O237" s="783">
        <f t="shared" si="10"/>
        <v>0</v>
      </c>
      <c r="P237" s="783">
        <f t="shared" si="11"/>
        <v>0</v>
      </c>
    </row>
    <row r="238" spans="3:16">
      <c r="C238" s="779">
        <f>IF(D181="","-",+C237+1)</f>
        <v>2064</v>
      </c>
      <c r="D238" s="727">
        <f t="shared" si="12"/>
        <v>0</v>
      </c>
      <c r="E238" s="780">
        <f t="shared" si="14"/>
        <v>0</v>
      </c>
      <c r="F238" s="780">
        <f t="shared" si="8"/>
        <v>0</v>
      </c>
      <c r="G238" s="727">
        <f t="shared" si="13"/>
        <v>0</v>
      </c>
      <c r="H238" s="785">
        <f>+J182*G238+E238</f>
        <v>0</v>
      </c>
      <c r="I238" s="786">
        <f>+J183*G238+E238</f>
        <v>0</v>
      </c>
      <c r="J238" s="783">
        <f t="shared" si="15"/>
        <v>0</v>
      </c>
      <c r="K238" s="783"/>
      <c r="L238" s="1304"/>
      <c r="M238" s="783">
        <f t="shared" si="9"/>
        <v>0</v>
      </c>
      <c r="N238" s="1304"/>
      <c r="O238" s="783">
        <f t="shared" si="10"/>
        <v>0</v>
      </c>
      <c r="P238" s="783">
        <f t="shared" si="11"/>
        <v>0</v>
      </c>
    </row>
    <row r="239" spans="3:16">
      <c r="C239" s="779">
        <f>IF(D181="","-",+C238+1)</f>
        <v>2065</v>
      </c>
      <c r="D239" s="727">
        <f t="shared" si="12"/>
        <v>0</v>
      </c>
      <c r="E239" s="780">
        <f t="shared" si="14"/>
        <v>0</v>
      </c>
      <c r="F239" s="780">
        <f t="shared" si="8"/>
        <v>0</v>
      </c>
      <c r="G239" s="727">
        <f t="shared" si="13"/>
        <v>0</v>
      </c>
      <c r="H239" s="785">
        <f>+J182*G239+E239</f>
        <v>0</v>
      </c>
      <c r="I239" s="786">
        <f>+J183*G239+E239</f>
        <v>0</v>
      </c>
      <c r="J239" s="783">
        <f t="shared" si="15"/>
        <v>0</v>
      </c>
      <c r="K239" s="783"/>
      <c r="L239" s="1304"/>
      <c r="M239" s="783">
        <f t="shared" si="9"/>
        <v>0</v>
      </c>
      <c r="N239" s="1304"/>
      <c r="O239" s="783">
        <f t="shared" si="10"/>
        <v>0</v>
      </c>
      <c r="P239" s="783">
        <f t="shared" si="11"/>
        <v>0</v>
      </c>
    </row>
    <row r="240" spans="3:16">
      <c r="C240" s="779">
        <f>IF(D181="","-",+C239+1)</f>
        <v>2066</v>
      </c>
      <c r="D240" s="727">
        <f t="shared" si="12"/>
        <v>0</v>
      </c>
      <c r="E240" s="780">
        <f t="shared" si="14"/>
        <v>0</v>
      </c>
      <c r="F240" s="780">
        <f t="shared" si="8"/>
        <v>0</v>
      </c>
      <c r="G240" s="727">
        <f t="shared" si="13"/>
        <v>0</v>
      </c>
      <c r="H240" s="785">
        <f>+J182*G240+E240</f>
        <v>0</v>
      </c>
      <c r="I240" s="786">
        <f>+J183*G240+E240</f>
        <v>0</v>
      </c>
      <c r="J240" s="783">
        <f t="shared" si="15"/>
        <v>0</v>
      </c>
      <c r="K240" s="783"/>
      <c r="L240" s="1304"/>
      <c r="M240" s="783">
        <f t="shared" si="9"/>
        <v>0</v>
      </c>
      <c r="N240" s="1304"/>
      <c r="O240" s="783">
        <f t="shared" si="10"/>
        <v>0</v>
      </c>
      <c r="P240" s="783">
        <f t="shared" si="11"/>
        <v>0</v>
      </c>
    </row>
    <row r="241" spans="1:17">
      <c r="C241" s="779">
        <f>IF(D181="","-",+C240+1)</f>
        <v>2067</v>
      </c>
      <c r="D241" s="727">
        <f t="shared" ref="D241:D246" si="16">F240</f>
        <v>0</v>
      </c>
      <c r="E241" s="780">
        <f t="shared" si="14"/>
        <v>0</v>
      </c>
      <c r="F241" s="780">
        <f t="shared" si="8"/>
        <v>0</v>
      </c>
      <c r="G241" s="727">
        <f t="shared" si="13"/>
        <v>0</v>
      </c>
      <c r="H241" s="785">
        <f>+J182*G241+E241</f>
        <v>0</v>
      </c>
      <c r="I241" s="786">
        <f>+J183*G241+E241</f>
        <v>0</v>
      </c>
      <c r="J241" s="783">
        <f t="shared" si="15"/>
        <v>0</v>
      </c>
      <c r="K241" s="783"/>
      <c r="L241" s="1304"/>
      <c r="M241" s="783">
        <f t="shared" si="9"/>
        <v>0</v>
      </c>
      <c r="N241" s="1304"/>
      <c r="O241" s="783">
        <f t="shared" si="10"/>
        <v>0</v>
      </c>
      <c r="P241" s="783">
        <f t="shared" si="11"/>
        <v>0</v>
      </c>
    </row>
    <row r="242" spans="1:17">
      <c r="C242" s="779">
        <f>IF(D181="","-",+C241+1)</f>
        <v>2068</v>
      </c>
      <c r="D242" s="727">
        <f t="shared" si="16"/>
        <v>0</v>
      </c>
      <c r="E242" s="780">
        <f t="shared" si="14"/>
        <v>0</v>
      </c>
      <c r="F242" s="780">
        <f t="shared" si="8"/>
        <v>0</v>
      </c>
      <c r="G242" s="727">
        <f t="shared" si="13"/>
        <v>0</v>
      </c>
      <c r="H242" s="785">
        <f>+J182*G242+E242</f>
        <v>0</v>
      </c>
      <c r="I242" s="786">
        <f>+J183*G242+E242</f>
        <v>0</v>
      </c>
      <c r="J242" s="783">
        <f t="shared" si="15"/>
        <v>0</v>
      </c>
      <c r="K242" s="783"/>
      <c r="L242" s="1304"/>
      <c r="M242" s="783">
        <f t="shared" si="9"/>
        <v>0</v>
      </c>
      <c r="N242" s="1304"/>
      <c r="O242" s="783">
        <f t="shared" si="10"/>
        <v>0</v>
      </c>
      <c r="P242" s="783">
        <f t="shared" si="11"/>
        <v>0</v>
      </c>
    </row>
    <row r="243" spans="1:17">
      <c r="C243" s="779">
        <f>IF(D181="","-",+C242+1)</f>
        <v>2069</v>
      </c>
      <c r="D243" s="727">
        <f t="shared" si="16"/>
        <v>0</v>
      </c>
      <c r="E243" s="780">
        <f t="shared" si="14"/>
        <v>0</v>
      </c>
      <c r="F243" s="780">
        <f t="shared" si="8"/>
        <v>0</v>
      </c>
      <c r="G243" s="727">
        <f t="shared" si="13"/>
        <v>0</v>
      </c>
      <c r="H243" s="785">
        <f>+J182*G243+E243</f>
        <v>0</v>
      </c>
      <c r="I243" s="786">
        <f>+J183*G243+E243</f>
        <v>0</v>
      </c>
      <c r="J243" s="783">
        <f t="shared" si="15"/>
        <v>0</v>
      </c>
      <c r="K243" s="783"/>
      <c r="L243" s="1304"/>
      <c r="M243" s="783">
        <f t="shared" si="9"/>
        <v>0</v>
      </c>
      <c r="N243" s="1304"/>
      <c r="O243" s="783">
        <f t="shared" si="10"/>
        <v>0</v>
      </c>
      <c r="P243" s="783">
        <f t="shared" si="11"/>
        <v>0</v>
      </c>
    </row>
    <row r="244" spans="1:17">
      <c r="C244" s="779">
        <f>IF(D181="","-",+C243+1)</f>
        <v>2070</v>
      </c>
      <c r="D244" s="727">
        <f t="shared" si="16"/>
        <v>0</v>
      </c>
      <c r="E244" s="780">
        <f t="shared" si="14"/>
        <v>0</v>
      </c>
      <c r="F244" s="780">
        <f t="shared" si="8"/>
        <v>0</v>
      </c>
      <c r="G244" s="727">
        <f t="shared" si="13"/>
        <v>0</v>
      </c>
      <c r="H244" s="785">
        <f>+J182*G244+E244</f>
        <v>0</v>
      </c>
      <c r="I244" s="786">
        <f>+J183*G244+E244</f>
        <v>0</v>
      </c>
      <c r="J244" s="783">
        <f t="shared" si="15"/>
        <v>0</v>
      </c>
      <c r="K244" s="783"/>
      <c r="L244" s="1304"/>
      <c r="M244" s="783">
        <f t="shared" si="9"/>
        <v>0</v>
      </c>
      <c r="N244" s="1304"/>
      <c r="O244" s="783">
        <f t="shared" si="10"/>
        <v>0</v>
      </c>
      <c r="P244" s="783">
        <f t="shared" si="11"/>
        <v>0</v>
      </c>
    </row>
    <row r="245" spans="1:17">
      <c r="C245" s="779">
        <f>IF(D181="","-",+C244+1)</f>
        <v>2071</v>
      </c>
      <c r="D245" s="727">
        <f t="shared" si="16"/>
        <v>0</v>
      </c>
      <c r="E245" s="780">
        <f t="shared" si="14"/>
        <v>0</v>
      </c>
      <c r="F245" s="780">
        <f t="shared" si="8"/>
        <v>0</v>
      </c>
      <c r="G245" s="727">
        <f t="shared" si="13"/>
        <v>0</v>
      </c>
      <c r="H245" s="785">
        <f>+J182*G245+E245</f>
        <v>0</v>
      </c>
      <c r="I245" s="786">
        <f>+J183*G245+E245</f>
        <v>0</v>
      </c>
      <c r="J245" s="783">
        <f t="shared" si="15"/>
        <v>0</v>
      </c>
      <c r="K245" s="783"/>
      <c r="L245" s="1304"/>
      <c r="M245" s="783">
        <f t="shared" si="9"/>
        <v>0</v>
      </c>
      <c r="N245" s="1304"/>
      <c r="O245" s="783">
        <f t="shared" si="10"/>
        <v>0</v>
      </c>
      <c r="P245" s="783">
        <f t="shared" si="11"/>
        <v>0</v>
      </c>
    </row>
    <row r="246" spans="1:17" ht="13.5" thickBot="1">
      <c r="C246" s="789">
        <f>IF(D181="","-",+C245+1)</f>
        <v>2072</v>
      </c>
      <c r="D246" s="790">
        <f t="shared" si="16"/>
        <v>0</v>
      </c>
      <c r="E246" s="791">
        <f t="shared" si="14"/>
        <v>0</v>
      </c>
      <c r="F246" s="791">
        <f t="shared" si="8"/>
        <v>0</v>
      </c>
      <c r="G246" s="790">
        <f t="shared" si="13"/>
        <v>0</v>
      </c>
      <c r="H246" s="792">
        <f>+J182*G246+E246</f>
        <v>0</v>
      </c>
      <c r="I246" s="792">
        <f>+J183*G246+E246</f>
        <v>0</v>
      </c>
      <c r="J246" s="793">
        <f t="shared" si="15"/>
        <v>0</v>
      </c>
      <c r="K246" s="783"/>
      <c r="L246" s="1305"/>
      <c r="M246" s="793">
        <f t="shared" si="9"/>
        <v>0</v>
      </c>
      <c r="N246" s="1305"/>
      <c r="O246" s="793">
        <f t="shared" si="10"/>
        <v>0</v>
      </c>
      <c r="P246" s="793">
        <f t="shared" si="11"/>
        <v>0</v>
      </c>
    </row>
    <row r="247" spans="1:17">
      <c r="C247" s="727" t="s">
        <v>93</v>
      </c>
      <c r="D247" s="721"/>
      <c r="E247" s="721">
        <f>SUM(E187:E246)</f>
        <v>15264783.670000002</v>
      </c>
      <c r="F247" s="721"/>
      <c r="G247" s="721"/>
      <c r="H247" s="721">
        <f>SUM(H187:H246)</f>
        <v>47701600.086820476</v>
      </c>
      <c r="I247" s="721">
        <f>SUM(I187:I246)</f>
        <v>47701600.086820476</v>
      </c>
      <c r="J247" s="721">
        <f>SUM(J187:J246)</f>
        <v>0</v>
      </c>
      <c r="K247" s="721"/>
      <c r="L247" s="721"/>
      <c r="M247" s="721"/>
      <c r="N247" s="721"/>
      <c r="O247" s="721"/>
    </row>
    <row r="248" spans="1:17">
      <c r="D248" s="529"/>
      <c r="E248" s="308"/>
      <c r="F248" s="308"/>
      <c r="G248" s="308"/>
      <c r="H248" s="308"/>
      <c r="I248" s="699"/>
      <c r="J248" s="699"/>
      <c r="K248" s="721"/>
      <c r="L248" s="699"/>
      <c r="M248" s="699"/>
      <c r="N248" s="699"/>
      <c r="O248" s="699"/>
    </row>
    <row r="249" spans="1:17">
      <c r="C249" s="308" t="s">
        <v>15</v>
      </c>
      <c r="D249" s="529"/>
      <c r="E249" s="308"/>
      <c r="F249" s="308"/>
      <c r="G249" s="308"/>
      <c r="H249" s="308"/>
      <c r="I249" s="699"/>
      <c r="J249" s="699"/>
      <c r="K249" s="721"/>
      <c r="L249" s="699"/>
      <c r="M249" s="699"/>
      <c r="N249" s="699"/>
      <c r="O249" s="699"/>
    </row>
    <row r="250" spans="1:17">
      <c r="C250" s="308"/>
      <c r="D250" s="529"/>
      <c r="E250" s="308"/>
      <c r="F250" s="308"/>
      <c r="G250" s="308"/>
      <c r="H250" s="308"/>
      <c r="I250" s="699"/>
      <c r="J250" s="699"/>
      <c r="K250" s="721"/>
      <c r="L250" s="699"/>
      <c r="M250" s="699"/>
      <c r="N250" s="699"/>
      <c r="O250" s="699"/>
    </row>
    <row r="251" spans="1:17">
      <c r="C251" s="740" t="s">
        <v>16</v>
      </c>
      <c r="D251" s="727"/>
      <c r="E251" s="727"/>
      <c r="F251" s="727"/>
      <c r="G251" s="727"/>
      <c r="H251" s="721"/>
      <c r="I251" s="721"/>
      <c r="J251" s="795"/>
      <c r="K251" s="795"/>
      <c r="L251" s="795"/>
      <c r="M251" s="795"/>
      <c r="N251" s="795"/>
      <c r="O251" s="795"/>
    </row>
    <row r="252" spans="1:17">
      <c r="C252" s="726" t="s">
        <v>273</v>
      </c>
      <c r="D252" s="727"/>
      <c r="E252" s="727"/>
      <c r="F252" s="727"/>
      <c r="G252" s="727"/>
      <c r="H252" s="721"/>
      <c r="I252" s="721"/>
      <c r="J252" s="795"/>
      <c r="K252" s="795"/>
      <c r="L252" s="795"/>
      <c r="M252" s="795"/>
      <c r="N252" s="795"/>
      <c r="O252" s="795"/>
    </row>
    <row r="253" spans="1:17">
      <c r="C253" s="726" t="s">
        <v>94</v>
      </c>
      <c r="D253" s="727"/>
      <c r="E253" s="727"/>
      <c r="F253" s="727"/>
      <c r="G253" s="727"/>
      <c r="H253" s="721"/>
      <c r="I253" s="721"/>
      <c r="J253" s="795"/>
      <c r="K253" s="795"/>
      <c r="L253" s="795"/>
      <c r="M253" s="795"/>
      <c r="N253" s="795"/>
      <c r="O253" s="795"/>
    </row>
    <row r="254" spans="1:17">
      <c r="C254" s="726"/>
      <c r="D254" s="727"/>
      <c r="E254" s="727"/>
      <c r="F254" s="727"/>
      <c r="G254" s="727"/>
      <c r="H254" s="721"/>
      <c r="I254" s="721"/>
      <c r="J254" s="795"/>
      <c r="K254" s="795"/>
      <c r="L254" s="795"/>
      <c r="M254" s="795"/>
      <c r="N254" s="795"/>
      <c r="O254" s="795"/>
    </row>
    <row r="255" spans="1:17" ht="20.25">
      <c r="A255" s="728" t="str">
        <f>""&amp;A179&amp;" Worksheet K -  ATRR TRUE-UP Calculation for PJM Projects Charged to Benefiting Zones"</f>
        <v xml:space="preserve"> Worksheet K -  ATRR TRUE-UP Calculation for PJM Projects Charged to Benefiting Zones</v>
      </c>
      <c r="B255" s="341"/>
      <c r="C255" s="716"/>
      <c r="D255" s="529"/>
      <c r="E255" s="308"/>
      <c r="F255" s="698"/>
      <c r="G255" s="698"/>
      <c r="H255" s="308"/>
      <c r="I255" s="699"/>
      <c r="L255" s="555"/>
      <c r="M255" s="555"/>
      <c r="N255" s="555"/>
      <c r="O255" s="644" t="str">
        <f>"Page "&amp;SUM(Q$8:Q255)&amp;" of "</f>
        <v xml:space="preserve">Page 3 of </v>
      </c>
      <c r="P255" s="645">
        <f>COUNT(Q$8:Q$56657)</f>
        <v>10</v>
      </c>
      <c r="Q255" s="172">
        <v>1</v>
      </c>
    </row>
    <row r="256" spans="1:17">
      <c r="B256" s="341"/>
      <c r="C256" s="308"/>
      <c r="D256" s="529"/>
      <c r="E256" s="308"/>
      <c r="F256" s="308"/>
      <c r="G256" s="308"/>
      <c r="H256" s="308"/>
      <c r="I256" s="699"/>
      <c r="J256" s="308"/>
      <c r="K256" s="418"/>
    </row>
    <row r="257" spans="1:16" ht="18">
      <c r="B257" s="648" t="s">
        <v>474</v>
      </c>
      <c r="C257" s="730" t="s">
        <v>95</v>
      </c>
      <c r="D257" s="529"/>
      <c r="E257" s="308"/>
      <c r="F257" s="308"/>
      <c r="G257" s="308"/>
      <c r="H257" s="308"/>
      <c r="I257" s="699"/>
      <c r="J257" s="699"/>
      <c r="K257" s="721"/>
      <c r="L257" s="699"/>
      <c r="M257" s="699"/>
      <c r="N257" s="699"/>
      <c r="O257" s="699"/>
    </row>
    <row r="258" spans="1:16" ht="18.75">
      <c r="B258" s="648"/>
      <c r="C258" s="647"/>
      <c r="D258" s="529"/>
      <c r="E258" s="308"/>
      <c r="F258" s="308"/>
      <c r="G258" s="308"/>
      <c r="H258" s="308"/>
      <c r="I258" s="699"/>
      <c r="J258" s="699"/>
      <c r="K258" s="721"/>
      <c r="L258" s="699"/>
      <c r="M258" s="699"/>
      <c r="N258" s="699"/>
      <c r="O258" s="699"/>
    </row>
    <row r="259" spans="1:16" ht="18.75">
      <c r="B259" s="648"/>
      <c r="C259" s="647" t="s">
        <v>96</v>
      </c>
      <c r="D259" s="529"/>
      <c r="E259" s="308"/>
      <c r="F259" s="308"/>
      <c r="G259" s="308"/>
      <c r="H259" s="308"/>
      <c r="I259" s="699"/>
      <c r="J259" s="699"/>
      <c r="K259" s="721"/>
      <c r="L259" s="699"/>
      <c r="M259" s="699"/>
      <c r="N259" s="699"/>
      <c r="O259" s="699"/>
    </row>
    <row r="260" spans="1:16" ht="15.75" thickBot="1">
      <c r="C260" s="239"/>
      <c r="D260" s="529"/>
      <c r="E260" s="308"/>
      <c r="F260" s="308"/>
      <c r="G260" s="308"/>
      <c r="H260" s="308"/>
      <c r="I260" s="699"/>
      <c r="J260" s="699"/>
      <c r="K260" s="721"/>
      <c r="L260" s="699"/>
      <c r="M260" s="699"/>
      <c r="N260" s="699"/>
      <c r="O260" s="699"/>
    </row>
    <row r="261" spans="1:16" ht="15.75">
      <c r="C261" s="650" t="s">
        <v>97</v>
      </c>
      <c r="D261" s="529"/>
      <c r="E261" s="308"/>
      <c r="F261" s="308"/>
      <c r="G261" s="308"/>
      <c r="H261" s="797"/>
      <c r="I261" s="308" t="s">
        <v>76</v>
      </c>
      <c r="J261" s="308"/>
      <c r="K261" s="418"/>
      <c r="L261" s="826">
        <f>+J267</f>
        <v>2022</v>
      </c>
      <c r="M261" s="807" t="s">
        <v>54</v>
      </c>
      <c r="N261" s="807" t="s">
        <v>55</v>
      </c>
      <c r="O261" s="808" t="s">
        <v>57</v>
      </c>
    </row>
    <row r="262" spans="1:16" ht="15.75">
      <c r="C262" s="650"/>
      <c r="D262" s="529"/>
      <c r="E262" s="308"/>
      <c r="F262" s="308"/>
      <c r="H262" s="308"/>
      <c r="I262" s="735"/>
      <c r="J262" s="735"/>
      <c r="K262" s="736"/>
      <c r="L262" s="827" t="s">
        <v>245</v>
      </c>
      <c r="M262" s="828">
        <f>VLOOKUP(J267,C274:P333,10)</f>
        <v>667726.0237932466</v>
      </c>
      <c r="N262" s="828">
        <f>VLOOKUP(J267,C274:P333,12)</f>
        <v>667726.0237932466</v>
      </c>
      <c r="O262" s="829">
        <f>+N262-M262</f>
        <v>0</v>
      </c>
    </row>
    <row r="263" spans="1:16" ht="12.95" customHeight="1">
      <c r="C263" s="740" t="s">
        <v>98</v>
      </c>
      <c r="D263" s="1553" t="s">
        <v>817</v>
      </c>
      <c r="E263" s="1553"/>
      <c r="F263" s="1553"/>
      <c r="G263" s="1553"/>
      <c r="H263" s="1553"/>
      <c r="I263" s="1553"/>
      <c r="J263" s="699"/>
      <c r="K263" s="721"/>
      <c r="L263" s="827" t="s">
        <v>246</v>
      </c>
      <c r="M263" s="830">
        <f>VLOOKUP(J267,C274:P333,6)</f>
        <v>670653.28260402102</v>
      </c>
      <c r="N263" s="830">
        <f>VLOOKUP(J267,C274:P333,7)</f>
        <v>670653.28260402102</v>
      </c>
      <c r="O263" s="831">
        <f>+N263-M263</f>
        <v>0</v>
      </c>
    </row>
    <row r="264" spans="1:16" ht="13.5" thickBot="1">
      <c r="C264" s="744"/>
      <c r="D264" s="1553"/>
      <c r="E264" s="1553"/>
      <c r="F264" s="1553"/>
      <c r="G264" s="1553"/>
      <c r="H264" s="1553"/>
      <c r="I264" s="1553"/>
      <c r="J264" s="699"/>
      <c r="K264" s="721"/>
      <c r="L264" s="763" t="s">
        <v>247</v>
      </c>
      <c r="M264" s="832">
        <f>+M263-M262</f>
        <v>2927.2588107744232</v>
      </c>
      <c r="N264" s="832">
        <f>+N263-N262</f>
        <v>2927.2588107744232</v>
      </c>
      <c r="O264" s="833">
        <f>+O263-O262</f>
        <v>0</v>
      </c>
    </row>
    <row r="265" spans="1:16" ht="13.5" thickBot="1">
      <c r="C265" s="747"/>
      <c r="D265" s="748"/>
      <c r="E265" s="746"/>
      <c r="F265" s="746"/>
      <c r="G265" s="746"/>
      <c r="H265" s="746"/>
      <c r="I265" s="746"/>
      <c r="J265" s="746"/>
      <c r="K265" s="749"/>
      <c r="L265" s="746"/>
      <c r="M265" s="746"/>
      <c r="N265" s="746"/>
      <c r="O265" s="746"/>
      <c r="P265" s="341"/>
    </row>
    <row r="266" spans="1:16" ht="13.5" thickBot="1">
      <c r="C266" s="750" t="s">
        <v>99</v>
      </c>
      <c r="D266" s="751"/>
      <c r="E266" s="751"/>
      <c r="F266" s="751"/>
      <c r="G266" s="751"/>
      <c r="H266" s="751"/>
      <c r="I266" s="751"/>
      <c r="J266" s="751"/>
      <c r="K266" s="753"/>
      <c r="P266" s="754"/>
    </row>
    <row r="267" spans="1:16" ht="15">
      <c r="A267" s="1331"/>
      <c r="C267" s="755" t="s">
        <v>77</v>
      </c>
      <c r="D267" s="799">
        <v>5805543</v>
      </c>
      <c r="E267" s="716" t="s">
        <v>78</v>
      </c>
      <c r="H267" s="756"/>
      <c r="I267" s="756"/>
      <c r="J267" s="757">
        <f>$J$93</f>
        <v>2022</v>
      </c>
      <c r="K267" s="545"/>
      <c r="L267" s="1554" t="s">
        <v>79</v>
      </c>
      <c r="M267" s="1554"/>
      <c r="N267" s="1554"/>
      <c r="O267" s="1554"/>
      <c r="P267" s="418"/>
    </row>
    <row r="268" spans="1:16">
      <c r="C268" s="755" t="s">
        <v>80</v>
      </c>
      <c r="D268" s="1301">
        <v>2013</v>
      </c>
      <c r="E268" s="755" t="s">
        <v>81</v>
      </c>
      <c r="F268" s="756"/>
      <c r="G268" s="756"/>
      <c r="I268" s="172"/>
      <c r="J268" s="801">
        <f>IF(H261="",0,$F$17)</f>
        <v>0</v>
      </c>
      <c r="K268" s="758"/>
      <c r="L268" s="721" t="s">
        <v>287</v>
      </c>
      <c r="P268" s="418"/>
    </row>
    <row r="269" spans="1:16">
      <c r="C269" s="755" t="s">
        <v>82</v>
      </c>
      <c r="D269" s="799">
        <v>12</v>
      </c>
      <c r="E269" s="755" t="s">
        <v>83</v>
      </c>
      <c r="F269" s="756"/>
      <c r="G269" s="756"/>
      <c r="I269" s="172"/>
      <c r="J269" s="759">
        <f>$F$70</f>
        <v>0.11486185889303469</v>
      </c>
      <c r="K269" s="760"/>
      <c r="L269" s="308" t="str">
        <f>"          INPUT TRUE-UP ARR (WITH &amp; WITHOUT INCENTIVES) FROM EACH PRIOR YEAR"</f>
        <v xml:space="preserve">          INPUT TRUE-UP ARR (WITH &amp; WITHOUT INCENTIVES) FROM EACH PRIOR YEAR</v>
      </c>
      <c r="P269" s="418"/>
    </row>
    <row r="270" spans="1:16">
      <c r="C270" s="755" t="s">
        <v>84</v>
      </c>
      <c r="D270" s="761">
        <f>H$79</f>
        <v>36</v>
      </c>
      <c r="E270" s="755" t="s">
        <v>85</v>
      </c>
      <c r="F270" s="756"/>
      <c r="G270" s="756"/>
      <c r="I270" s="172"/>
      <c r="J270" s="759">
        <f>IF(H261="",+J269,$F$69)</f>
        <v>0.11486185889303469</v>
      </c>
      <c r="K270" s="762"/>
      <c r="L270" s="308" t="s">
        <v>167</v>
      </c>
      <c r="M270" s="762"/>
      <c r="N270" s="762"/>
      <c r="O270" s="762"/>
      <c r="P270" s="418"/>
    </row>
    <row r="271" spans="1:16" ht="13.5" thickBot="1">
      <c r="C271" s="755" t="s">
        <v>86</v>
      </c>
      <c r="D271" s="1322" t="s">
        <v>814</v>
      </c>
      <c r="E271" s="763" t="s">
        <v>87</v>
      </c>
      <c r="F271" s="764"/>
      <c r="G271" s="764"/>
      <c r="H271" s="765"/>
      <c r="I271" s="765"/>
      <c r="J271" s="743">
        <f>IF(D267=0,0,D267/D270)</f>
        <v>161265.08333333334</v>
      </c>
      <c r="K271" s="721"/>
      <c r="L271" s="721" t="s">
        <v>168</v>
      </c>
      <c r="M271" s="721"/>
      <c r="N271" s="721"/>
      <c r="O271" s="721"/>
      <c r="P271" s="418"/>
    </row>
    <row r="272" spans="1:16" ht="38.25">
      <c r="B272" s="836"/>
      <c r="C272" s="766" t="s">
        <v>77</v>
      </c>
      <c r="D272" s="767" t="s">
        <v>88</v>
      </c>
      <c r="E272" s="768" t="s">
        <v>89</v>
      </c>
      <c r="F272" s="767" t="s">
        <v>90</v>
      </c>
      <c r="G272" s="767" t="s">
        <v>248</v>
      </c>
      <c r="H272" s="768" t="s">
        <v>161</v>
      </c>
      <c r="I272" s="769" t="s">
        <v>161</v>
      </c>
      <c r="J272" s="766" t="s">
        <v>100</v>
      </c>
      <c r="K272" s="770"/>
      <c r="L272" s="768" t="s">
        <v>163</v>
      </c>
      <c r="M272" s="768" t="s">
        <v>169</v>
      </c>
      <c r="N272" s="768" t="s">
        <v>163</v>
      </c>
      <c r="O272" s="768" t="s">
        <v>171</v>
      </c>
      <c r="P272" s="768" t="s">
        <v>91</v>
      </c>
    </row>
    <row r="273" spans="3:16" ht="13.5" thickBot="1">
      <c r="C273" s="772" t="s">
        <v>477</v>
      </c>
      <c r="D273" s="773" t="s">
        <v>478</v>
      </c>
      <c r="E273" s="772" t="s">
        <v>371</v>
      </c>
      <c r="F273" s="773" t="s">
        <v>478</v>
      </c>
      <c r="G273" s="773" t="s">
        <v>478</v>
      </c>
      <c r="H273" s="774" t="s">
        <v>103</v>
      </c>
      <c r="I273" s="775" t="s">
        <v>105</v>
      </c>
      <c r="J273" s="776" t="s">
        <v>17</v>
      </c>
      <c r="K273" s="777"/>
      <c r="L273" s="774" t="s">
        <v>92</v>
      </c>
      <c r="M273" s="774" t="s">
        <v>92</v>
      </c>
      <c r="N273" s="774" t="s">
        <v>265</v>
      </c>
      <c r="O273" s="774" t="s">
        <v>265</v>
      </c>
      <c r="P273" s="774" t="s">
        <v>265</v>
      </c>
    </row>
    <row r="274" spans="3:16">
      <c r="C274" s="779">
        <f>IF(D268= "","-",D268)</f>
        <v>2013</v>
      </c>
      <c r="D274" s="727">
        <f>+D267</f>
        <v>5805543</v>
      </c>
      <c r="E274" s="785">
        <f>+J271/12*(12-D269)</f>
        <v>0</v>
      </c>
      <c r="F274" s="834">
        <f t="shared" ref="F274:F333" si="17">+D274-E274</f>
        <v>5805543</v>
      </c>
      <c r="G274" s="727">
        <f>+(D274+F274)/2</f>
        <v>5805543</v>
      </c>
      <c r="H274" s="781">
        <f>+J269*G274+E274</f>
        <v>666835.4608634453</v>
      </c>
      <c r="I274" s="782">
        <f>+J270*G274+E274</f>
        <v>666835.4608634453</v>
      </c>
      <c r="J274" s="783">
        <f>+I274-H274</f>
        <v>0</v>
      </c>
      <c r="K274" s="783"/>
      <c r="L274" s="1303">
        <v>461439</v>
      </c>
      <c r="M274" s="835">
        <f t="shared" ref="M274:M333" si="18">IF(L274&lt;&gt;0,+H274-L274,0)</f>
        <v>205396.4608634453</v>
      </c>
      <c r="N274" s="1303">
        <v>461439</v>
      </c>
      <c r="O274" s="835">
        <f t="shared" ref="O274:O333" si="19">IF(N274&lt;&gt;0,+I274-N274,0)</f>
        <v>205396.4608634453</v>
      </c>
      <c r="P274" s="835">
        <f t="shared" ref="P274:P333" si="20">+O274-M274</f>
        <v>0</v>
      </c>
    </row>
    <row r="275" spans="3:16">
      <c r="C275" s="779">
        <f>IF(D268="","-",+C274+1)</f>
        <v>2014</v>
      </c>
      <c r="D275" s="727">
        <f t="shared" ref="D275:D327" si="21">F274</f>
        <v>5805543</v>
      </c>
      <c r="E275" s="780">
        <f>IF(D275&gt;$J$271,$J$271,D275)</f>
        <v>161265.08333333334</v>
      </c>
      <c r="F275" s="780">
        <f t="shared" si="17"/>
        <v>5644277.916666667</v>
      </c>
      <c r="G275" s="727">
        <f t="shared" ref="G275:G333" si="22">+(D275+F275)/2</f>
        <v>5724910.458333334</v>
      </c>
      <c r="H275" s="785">
        <f>+J269*G275+E275</f>
        <v>818838.94057367533</v>
      </c>
      <c r="I275" s="786">
        <f>+J270*G275+E275</f>
        <v>818838.94057367533</v>
      </c>
      <c r="J275" s="783">
        <f>+I275-H275</f>
        <v>0</v>
      </c>
      <c r="K275" s="783"/>
      <c r="L275" s="1304">
        <v>626067</v>
      </c>
      <c r="M275" s="783">
        <f t="shared" si="18"/>
        <v>192771.94057367533</v>
      </c>
      <c r="N275" s="1304">
        <v>626067</v>
      </c>
      <c r="O275" s="783">
        <f t="shared" si="19"/>
        <v>192771.94057367533</v>
      </c>
      <c r="P275" s="783">
        <f t="shared" si="20"/>
        <v>0</v>
      </c>
    </row>
    <row r="276" spans="3:16">
      <c r="C276" s="779">
        <f>IF(D268="","-",+C275+1)</f>
        <v>2015</v>
      </c>
      <c r="D276" s="727">
        <f t="shared" si="21"/>
        <v>5644277.916666667</v>
      </c>
      <c r="E276" s="780">
        <f t="shared" ref="E276:E333" si="23">IF(D276&gt;$J$271,$J$271,D276)</f>
        <v>161265.08333333334</v>
      </c>
      <c r="F276" s="780">
        <f t="shared" si="17"/>
        <v>5483012.833333334</v>
      </c>
      <c r="G276" s="727">
        <f t="shared" si="22"/>
        <v>5563645.375</v>
      </c>
      <c r="H276" s="785">
        <f>+J269*G276+E276</f>
        <v>800315.73332746839</v>
      </c>
      <c r="I276" s="786">
        <f>+J270*G276+E276</f>
        <v>800315.73332746839</v>
      </c>
      <c r="J276" s="783">
        <f t="shared" ref="J276:J333" si="24">+I276-H276</f>
        <v>0</v>
      </c>
      <c r="K276" s="783"/>
      <c r="L276" s="1304">
        <v>697699</v>
      </c>
      <c r="M276" s="783">
        <f t="shared" si="18"/>
        <v>102616.73332746839</v>
      </c>
      <c r="N276" s="1304">
        <v>697699</v>
      </c>
      <c r="O276" s="783">
        <f t="shared" si="19"/>
        <v>102616.73332746839</v>
      </c>
      <c r="P276" s="783">
        <f t="shared" si="20"/>
        <v>0</v>
      </c>
    </row>
    <row r="277" spans="3:16">
      <c r="C277" s="779">
        <f>IF(D268="","-",+C276+1)</f>
        <v>2016</v>
      </c>
      <c r="D277" s="727">
        <f t="shared" si="21"/>
        <v>5483012.833333334</v>
      </c>
      <c r="E277" s="780">
        <f t="shared" si="23"/>
        <v>161265.08333333334</v>
      </c>
      <c r="F277" s="780">
        <f t="shared" si="17"/>
        <v>5321747.7500000009</v>
      </c>
      <c r="G277" s="727">
        <f t="shared" si="22"/>
        <v>5402380.2916666679</v>
      </c>
      <c r="H277" s="785">
        <f>+J269*G277+E277</f>
        <v>781792.52608126169</v>
      </c>
      <c r="I277" s="786">
        <f>+J270*G277+E277</f>
        <v>781792.52608126169</v>
      </c>
      <c r="J277" s="783">
        <f t="shared" si="24"/>
        <v>0</v>
      </c>
      <c r="K277" s="783"/>
      <c r="L277" s="1304">
        <v>692483</v>
      </c>
      <c r="M277" s="783">
        <f t="shared" si="18"/>
        <v>89309.526081261691</v>
      </c>
      <c r="N277" s="1304">
        <v>692483</v>
      </c>
      <c r="O277" s="783">
        <f t="shared" si="19"/>
        <v>89309.526081261691</v>
      </c>
      <c r="P277" s="783">
        <f t="shared" si="20"/>
        <v>0</v>
      </c>
    </row>
    <row r="278" spans="3:16">
      <c r="C278" s="779">
        <f>IF(D268="","-",+C277+1)</f>
        <v>2017</v>
      </c>
      <c r="D278" s="727">
        <f t="shared" si="21"/>
        <v>5321747.7500000009</v>
      </c>
      <c r="E278" s="780">
        <f t="shared" si="23"/>
        <v>161265.08333333334</v>
      </c>
      <c r="F278" s="780">
        <f t="shared" si="17"/>
        <v>5160482.6666666679</v>
      </c>
      <c r="G278" s="727">
        <f t="shared" si="22"/>
        <v>5241115.208333334</v>
      </c>
      <c r="H278" s="785">
        <f>+J269*G278+E278</f>
        <v>763269.31883505487</v>
      </c>
      <c r="I278" s="786">
        <f>+J270*G278+E278</f>
        <v>763269.31883505487</v>
      </c>
      <c r="J278" s="783">
        <f t="shared" si="24"/>
        <v>0</v>
      </c>
      <c r="K278" s="783"/>
      <c r="L278" s="1304">
        <v>737310</v>
      </c>
      <c r="M278" s="783">
        <f t="shared" si="18"/>
        <v>25959.318835054873</v>
      </c>
      <c r="N278" s="1304">
        <v>737310</v>
      </c>
      <c r="O278" s="783">
        <f t="shared" si="19"/>
        <v>25959.318835054873</v>
      </c>
      <c r="P278" s="783">
        <f t="shared" si="20"/>
        <v>0</v>
      </c>
    </row>
    <row r="279" spans="3:16">
      <c r="C279" s="779">
        <f>IF(D268="","-",+C278+1)</f>
        <v>2018</v>
      </c>
      <c r="D279" s="1393">
        <f t="shared" si="21"/>
        <v>5160482.6666666679</v>
      </c>
      <c r="E279" s="780">
        <f t="shared" si="23"/>
        <v>161265.08333333334</v>
      </c>
      <c r="F279" s="780">
        <f t="shared" si="17"/>
        <v>4999217.5833333349</v>
      </c>
      <c r="G279" s="727">
        <f t="shared" si="22"/>
        <v>5079850.1250000019</v>
      </c>
      <c r="H279" s="785">
        <f>+J269*G279+E279</f>
        <v>744746.11158884817</v>
      </c>
      <c r="I279" s="786">
        <f>+J270*G279+E279</f>
        <v>744746.11158884817</v>
      </c>
      <c r="J279" s="783">
        <f t="shared" si="24"/>
        <v>0</v>
      </c>
      <c r="K279" s="783"/>
      <c r="L279" s="1304">
        <v>631912</v>
      </c>
      <c r="M279" s="783">
        <f t="shared" si="18"/>
        <v>112834.11158884817</v>
      </c>
      <c r="N279" s="1304">
        <v>631912</v>
      </c>
      <c r="O279" s="783">
        <f t="shared" si="19"/>
        <v>112834.11158884817</v>
      </c>
      <c r="P279" s="783">
        <f t="shared" si="20"/>
        <v>0</v>
      </c>
    </row>
    <row r="280" spans="3:16">
      <c r="C280" s="779">
        <f>IF(D268="","-",+C279+1)</f>
        <v>2019</v>
      </c>
      <c r="D280" s="1323">
        <f t="shared" si="21"/>
        <v>4999217.5833333349</v>
      </c>
      <c r="E280" s="780">
        <f t="shared" si="23"/>
        <v>161265.08333333334</v>
      </c>
      <c r="F280" s="780">
        <f t="shared" si="17"/>
        <v>4837952.5000000019</v>
      </c>
      <c r="G280" s="727">
        <f t="shared" si="22"/>
        <v>4918585.0416666679</v>
      </c>
      <c r="H280" s="785">
        <f>+J269*G280+E280</f>
        <v>726222.90434264136</v>
      </c>
      <c r="I280" s="786">
        <f>+J270*G280+E280</f>
        <v>726222.90434264136</v>
      </c>
      <c r="J280" s="783">
        <f t="shared" si="24"/>
        <v>0</v>
      </c>
      <c r="K280" s="783"/>
      <c r="L280" s="1304">
        <v>663516</v>
      </c>
      <c r="M280" s="783">
        <f t="shared" si="18"/>
        <v>62706.904342641355</v>
      </c>
      <c r="N280" s="1304">
        <v>663516</v>
      </c>
      <c r="O280" s="783">
        <f t="shared" si="19"/>
        <v>62706.904342641355</v>
      </c>
      <c r="P280" s="783">
        <f t="shared" si="20"/>
        <v>0</v>
      </c>
    </row>
    <row r="281" spans="3:16">
      <c r="C281" s="779">
        <f>IF(D268="","-",+C280+1)</f>
        <v>2020</v>
      </c>
      <c r="D281" s="727">
        <f t="shared" si="21"/>
        <v>4837952.5000000019</v>
      </c>
      <c r="E281" s="780">
        <f t="shared" si="23"/>
        <v>161265.08333333334</v>
      </c>
      <c r="F281" s="780">
        <f t="shared" si="17"/>
        <v>4676687.4166666688</v>
      </c>
      <c r="G281" s="727">
        <f t="shared" si="22"/>
        <v>4757319.9583333358</v>
      </c>
      <c r="H281" s="785">
        <f>+J269*G281+E281</f>
        <v>707699.69709643465</v>
      </c>
      <c r="I281" s="786">
        <f>+J270*G281+E281</f>
        <v>707699.69709643465</v>
      </c>
      <c r="J281" s="783">
        <f t="shared" si="24"/>
        <v>0</v>
      </c>
      <c r="K281" s="783"/>
      <c r="L281" s="1304">
        <v>671524.69930000929</v>
      </c>
      <c r="M281" s="783">
        <f t="shared" si="18"/>
        <v>36174.997796425363</v>
      </c>
      <c r="N281" s="1304">
        <v>671524.69930000929</v>
      </c>
      <c r="O281" s="783">
        <f t="shared" si="19"/>
        <v>36174.997796425363</v>
      </c>
      <c r="P281" s="783">
        <f t="shared" si="20"/>
        <v>0</v>
      </c>
    </row>
    <row r="282" spans="3:16">
      <c r="C282" s="779">
        <f>IF(D268="","-",+C281+1)</f>
        <v>2021</v>
      </c>
      <c r="D282" s="727">
        <f t="shared" si="21"/>
        <v>4676687.4166666688</v>
      </c>
      <c r="E282" s="780">
        <f t="shared" si="23"/>
        <v>161265.08333333334</v>
      </c>
      <c r="F282" s="780">
        <f t="shared" si="17"/>
        <v>4515422.3333333358</v>
      </c>
      <c r="G282" s="727">
        <f t="shared" si="22"/>
        <v>4596054.8750000019</v>
      </c>
      <c r="H282" s="785">
        <f>+J269*G282+E282</f>
        <v>689176.48985022772</v>
      </c>
      <c r="I282" s="786">
        <f>+J270*G282+E282</f>
        <v>689176.48985022772</v>
      </c>
      <c r="J282" s="783">
        <f t="shared" si="24"/>
        <v>0</v>
      </c>
      <c r="K282" s="783"/>
      <c r="L282" s="1304">
        <v>658579.34236016381</v>
      </c>
      <c r="M282" s="783">
        <f t="shared" si="18"/>
        <v>30597.147490063915</v>
      </c>
      <c r="N282" s="1304">
        <v>658579.34236016381</v>
      </c>
      <c r="O282" s="783">
        <f t="shared" si="19"/>
        <v>30597.147490063915</v>
      </c>
      <c r="P282" s="783">
        <f t="shared" si="20"/>
        <v>0</v>
      </c>
    </row>
    <row r="283" spans="3:16">
      <c r="C283" s="779">
        <f>IF(D268="","-",+C282+1)</f>
        <v>2022</v>
      </c>
      <c r="D283" s="727">
        <f t="shared" si="21"/>
        <v>4515422.3333333358</v>
      </c>
      <c r="E283" s="780">
        <f t="shared" si="23"/>
        <v>161265.08333333334</v>
      </c>
      <c r="F283" s="780">
        <f t="shared" si="17"/>
        <v>4354157.2500000028</v>
      </c>
      <c r="G283" s="727">
        <f t="shared" si="22"/>
        <v>4434789.7916666698</v>
      </c>
      <c r="H283" s="785">
        <f>+J269*G283+E283</f>
        <v>670653.28260402102</v>
      </c>
      <c r="I283" s="786">
        <f>+J270*G283+E283</f>
        <v>670653.28260402102</v>
      </c>
      <c r="J283" s="783">
        <f t="shared" si="24"/>
        <v>0</v>
      </c>
      <c r="K283" s="783"/>
      <c r="L283" s="1304">
        <v>667726.0237932466</v>
      </c>
      <c r="M283" s="783">
        <f t="shared" si="18"/>
        <v>2927.2588107744232</v>
      </c>
      <c r="N283" s="1304">
        <v>667726.0237932466</v>
      </c>
      <c r="O283" s="783">
        <f t="shared" si="19"/>
        <v>2927.2588107744232</v>
      </c>
      <c r="P283" s="783">
        <f t="shared" si="20"/>
        <v>0</v>
      </c>
    </row>
    <row r="284" spans="3:16">
      <c r="C284" s="779">
        <f>IF(D268="","-",+C283+1)</f>
        <v>2023</v>
      </c>
      <c r="D284" s="727">
        <f t="shared" si="21"/>
        <v>4354157.2500000028</v>
      </c>
      <c r="E284" s="780">
        <f t="shared" si="23"/>
        <v>161265.08333333334</v>
      </c>
      <c r="F284" s="780">
        <f t="shared" si="17"/>
        <v>4192892.1666666693</v>
      </c>
      <c r="G284" s="727">
        <f t="shared" si="22"/>
        <v>4273524.7083333358</v>
      </c>
      <c r="H284" s="785">
        <f>+J269*G284+E284</f>
        <v>652130.0753578142</v>
      </c>
      <c r="I284" s="786">
        <f>+J270*G284+E284</f>
        <v>652130.0753578142</v>
      </c>
      <c r="J284" s="783">
        <f t="shared" si="24"/>
        <v>0</v>
      </c>
      <c r="K284" s="783"/>
      <c r="L284" s="1304"/>
      <c r="M284" s="783">
        <f t="shared" si="18"/>
        <v>0</v>
      </c>
      <c r="N284" s="1304"/>
      <c r="O284" s="783">
        <f t="shared" si="19"/>
        <v>0</v>
      </c>
      <c r="P284" s="783">
        <f t="shared" si="20"/>
        <v>0</v>
      </c>
    </row>
    <row r="285" spans="3:16">
      <c r="C285" s="779">
        <f>IF(D268="","-",+C284+1)</f>
        <v>2024</v>
      </c>
      <c r="D285" s="727">
        <f t="shared" si="21"/>
        <v>4192892.1666666693</v>
      </c>
      <c r="E285" s="780">
        <f t="shared" si="23"/>
        <v>161265.08333333334</v>
      </c>
      <c r="F285" s="780">
        <f t="shared" si="17"/>
        <v>4031627.0833333358</v>
      </c>
      <c r="G285" s="727">
        <f t="shared" si="22"/>
        <v>4112259.6250000028</v>
      </c>
      <c r="H285" s="785">
        <f>+J269*G285+E285</f>
        <v>633606.86811160739</v>
      </c>
      <c r="I285" s="786">
        <f>+J270*G285+E285</f>
        <v>633606.86811160739</v>
      </c>
      <c r="J285" s="783">
        <f t="shared" si="24"/>
        <v>0</v>
      </c>
      <c r="K285" s="783"/>
      <c r="L285" s="1304"/>
      <c r="M285" s="783">
        <f t="shared" si="18"/>
        <v>0</v>
      </c>
      <c r="N285" s="1304"/>
      <c r="O285" s="783">
        <f t="shared" si="19"/>
        <v>0</v>
      </c>
      <c r="P285" s="783">
        <f t="shared" si="20"/>
        <v>0</v>
      </c>
    </row>
    <row r="286" spans="3:16">
      <c r="C286" s="779">
        <f>IF(D268="","-",+C285+1)</f>
        <v>2025</v>
      </c>
      <c r="D286" s="727">
        <f t="shared" si="21"/>
        <v>4031627.0833333358</v>
      </c>
      <c r="E286" s="780">
        <f t="shared" si="23"/>
        <v>161265.08333333334</v>
      </c>
      <c r="F286" s="780">
        <f t="shared" si="17"/>
        <v>3870362.0000000023</v>
      </c>
      <c r="G286" s="727">
        <f t="shared" si="22"/>
        <v>3950994.5416666688</v>
      </c>
      <c r="H286" s="785">
        <f>+J269*G286+E286</f>
        <v>615083.66086540045</v>
      </c>
      <c r="I286" s="786">
        <f>+J270*G286+E286</f>
        <v>615083.66086540045</v>
      </c>
      <c r="J286" s="783">
        <f t="shared" si="24"/>
        <v>0</v>
      </c>
      <c r="K286" s="783"/>
      <c r="L286" s="1304"/>
      <c r="M286" s="783">
        <f t="shared" si="18"/>
        <v>0</v>
      </c>
      <c r="N286" s="1304"/>
      <c r="O286" s="783">
        <f t="shared" si="19"/>
        <v>0</v>
      </c>
      <c r="P286" s="783">
        <f t="shared" si="20"/>
        <v>0</v>
      </c>
    </row>
    <row r="287" spans="3:16">
      <c r="C287" s="779">
        <f>IF(D268="","-",+C286+1)</f>
        <v>2026</v>
      </c>
      <c r="D287" s="727">
        <f t="shared" si="21"/>
        <v>3870362.0000000023</v>
      </c>
      <c r="E287" s="780">
        <f t="shared" si="23"/>
        <v>161265.08333333334</v>
      </c>
      <c r="F287" s="780">
        <f t="shared" si="17"/>
        <v>3709096.9166666688</v>
      </c>
      <c r="G287" s="727">
        <f t="shared" si="22"/>
        <v>3789729.4583333358</v>
      </c>
      <c r="H287" s="785">
        <f>+J269*G287+E287</f>
        <v>596560.45361919375</v>
      </c>
      <c r="I287" s="786">
        <f>+J270*G287+E287</f>
        <v>596560.45361919375</v>
      </c>
      <c r="J287" s="783">
        <f t="shared" si="24"/>
        <v>0</v>
      </c>
      <c r="K287" s="783"/>
      <c r="L287" s="1304"/>
      <c r="M287" s="783">
        <f t="shared" si="18"/>
        <v>0</v>
      </c>
      <c r="N287" s="1304"/>
      <c r="O287" s="783">
        <f t="shared" si="19"/>
        <v>0</v>
      </c>
      <c r="P287" s="783">
        <f t="shared" si="20"/>
        <v>0</v>
      </c>
    </row>
    <row r="288" spans="3:16">
      <c r="C288" s="779">
        <f>IF(D268="","-",+C287+1)</f>
        <v>2027</v>
      </c>
      <c r="D288" s="727">
        <f t="shared" si="21"/>
        <v>3709096.9166666688</v>
      </c>
      <c r="E288" s="780">
        <f t="shared" si="23"/>
        <v>161265.08333333334</v>
      </c>
      <c r="F288" s="780">
        <f t="shared" si="17"/>
        <v>3547831.8333333354</v>
      </c>
      <c r="G288" s="727">
        <f t="shared" si="22"/>
        <v>3628464.3750000019</v>
      </c>
      <c r="H288" s="785">
        <f>+J269*G288+E288</f>
        <v>578037.24637298682</v>
      </c>
      <c r="I288" s="786">
        <f>+J270*G288+E288</f>
        <v>578037.24637298682</v>
      </c>
      <c r="J288" s="783">
        <f t="shared" si="24"/>
        <v>0</v>
      </c>
      <c r="K288" s="783"/>
      <c r="L288" s="1304"/>
      <c r="M288" s="783">
        <f t="shared" si="18"/>
        <v>0</v>
      </c>
      <c r="N288" s="1304"/>
      <c r="O288" s="783">
        <f t="shared" si="19"/>
        <v>0</v>
      </c>
      <c r="P288" s="783">
        <f t="shared" si="20"/>
        <v>0</v>
      </c>
    </row>
    <row r="289" spans="3:16">
      <c r="C289" s="779">
        <f>IF(D268="","-",+C288+1)</f>
        <v>2028</v>
      </c>
      <c r="D289" s="727">
        <f t="shared" si="21"/>
        <v>3547831.8333333354</v>
      </c>
      <c r="E289" s="780">
        <f t="shared" si="23"/>
        <v>161265.08333333334</v>
      </c>
      <c r="F289" s="780">
        <f t="shared" si="17"/>
        <v>3386566.7500000019</v>
      </c>
      <c r="G289" s="727">
        <f t="shared" si="22"/>
        <v>3467199.2916666688</v>
      </c>
      <c r="H289" s="785">
        <f>+J269*G289+E289</f>
        <v>559514.03912678012</v>
      </c>
      <c r="I289" s="786">
        <f>+J270*G289+E289</f>
        <v>559514.03912678012</v>
      </c>
      <c r="J289" s="783">
        <f t="shared" si="24"/>
        <v>0</v>
      </c>
      <c r="K289" s="783"/>
      <c r="L289" s="1304"/>
      <c r="M289" s="783">
        <f t="shared" si="18"/>
        <v>0</v>
      </c>
      <c r="N289" s="1304"/>
      <c r="O289" s="783">
        <f t="shared" si="19"/>
        <v>0</v>
      </c>
      <c r="P289" s="783">
        <f t="shared" si="20"/>
        <v>0</v>
      </c>
    </row>
    <row r="290" spans="3:16">
      <c r="C290" s="779">
        <f>IF(D268="","-",+C289+1)</f>
        <v>2029</v>
      </c>
      <c r="D290" s="727">
        <f t="shared" si="21"/>
        <v>3386566.7500000019</v>
      </c>
      <c r="E290" s="780">
        <f t="shared" si="23"/>
        <v>161265.08333333334</v>
      </c>
      <c r="F290" s="780">
        <f t="shared" si="17"/>
        <v>3225301.6666666684</v>
      </c>
      <c r="G290" s="727">
        <f t="shared" si="22"/>
        <v>3305934.2083333349</v>
      </c>
      <c r="H290" s="785">
        <f>+J269*G290+E290</f>
        <v>540990.83188057318</v>
      </c>
      <c r="I290" s="786">
        <f>+J270*G290+E290</f>
        <v>540990.83188057318</v>
      </c>
      <c r="J290" s="783">
        <f t="shared" si="24"/>
        <v>0</v>
      </c>
      <c r="K290" s="783"/>
      <c r="L290" s="1304"/>
      <c r="M290" s="783">
        <f t="shared" si="18"/>
        <v>0</v>
      </c>
      <c r="N290" s="1304"/>
      <c r="O290" s="783">
        <f t="shared" si="19"/>
        <v>0</v>
      </c>
      <c r="P290" s="783">
        <f t="shared" si="20"/>
        <v>0</v>
      </c>
    </row>
    <row r="291" spans="3:16">
      <c r="C291" s="779">
        <f>IF(D268="","-",+C290+1)</f>
        <v>2030</v>
      </c>
      <c r="D291" s="727">
        <f t="shared" si="21"/>
        <v>3225301.6666666684</v>
      </c>
      <c r="E291" s="780">
        <f t="shared" si="23"/>
        <v>161265.08333333334</v>
      </c>
      <c r="F291" s="780">
        <f t="shared" si="17"/>
        <v>3064036.5833333349</v>
      </c>
      <c r="G291" s="727">
        <f t="shared" si="22"/>
        <v>3144669.1250000019</v>
      </c>
      <c r="H291" s="785">
        <f>+J269*G291+E291</f>
        <v>522467.62463436637</v>
      </c>
      <c r="I291" s="786">
        <f>+J270*G291+E291</f>
        <v>522467.62463436637</v>
      </c>
      <c r="J291" s="783">
        <f t="shared" si="24"/>
        <v>0</v>
      </c>
      <c r="K291" s="783"/>
      <c r="L291" s="1304"/>
      <c r="M291" s="783">
        <f t="shared" si="18"/>
        <v>0</v>
      </c>
      <c r="N291" s="1304"/>
      <c r="O291" s="783">
        <f t="shared" si="19"/>
        <v>0</v>
      </c>
      <c r="P291" s="783">
        <f t="shared" si="20"/>
        <v>0</v>
      </c>
    </row>
    <row r="292" spans="3:16">
      <c r="C292" s="779">
        <f>IF(D268="","-",+C291+1)</f>
        <v>2031</v>
      </c>
      <c r="D292" s="727">
        <f t="shared" si="21"/>
        <v>3064036.5833333349</v>
      </c>
      <c r="E292" s="780">
        <f t="shared" si="23"/>
        <v>161265.08333333334</v>
      </c>
      <c r="F292" s="780">
        <f t="shared" si="17"/>
        <v>2902771.5000000014</v>
      </c>
      <c r="G292" s="727">
        <f t="shared" si="22"/>
        <v>2983404.0416666679</v>
      </c>
      <c r="H292" s="785">
        <f>+J269*G292+E292</f>
        <v>503944.41738815955</v>
      </c>
      <c r="I292" s="786">
        <f>+J270*G292+E292</f>
        <v>503944.41738815955</v>
      </c>
      <c r="J292" s="783">
        <f t="shared" si="24"/>
        <v>0</v>
      </c>
      <c r="K292" s="783"/>
      <c r="L292" s="1304"/>
      <c r="M292" s="783">
        <f t="shared" si="18"/>
        <v>0</v>
      </c>
      <c r="N292" s="1304"/>
      <c r="O292" s="783">
        <f t="shared" si="19"/>
        <v>0</v>
      </c>
      <c r="P292" s="783">
        <f t="shared" si="20"/>
        <v>0</v>
      </c>
    </row>
    <row r="293" spans="3:16">
      <c r="C293" s="779">
        <f>IF(D268="","-",+C292+1)</f>
        <v>2032</v>
      </c>
      <c r="D293" s="727">
        <f t="shared" si="21"/>
        <v>2902771.5000000014</v>
      </c>
      <c r="E293" s="780">
        <f t="shared" si="23"/>
        <v>161265.08333333334</v>
      </c>
      <c r="F293" s="780">
        <f t="shared" si="17"/>
        <v>2741506.4166666679</v>
      </c>
      <c r="G293" s="727">
        <f t="shared" si="22"/>
        <v>2822138.9583333349</v>
      </c>
      <c r="H293" s="785">
        <f>+J269*G293+E293</f>
        <v>485421.21014195273</v>
      </c>
      <c r="I293" s="786">
        <f>+J270*G293+E293</f>
        <v>485421.21014195273</v>
      </c>
      <c r="J293" s="783">
        <f t="shared" si="24"/>
        <v>0</v>
      </c>
      <c r="K293" s="783"/>
      <c r="L293" s="1304"/>
      <c r="M293" s="783">
        <f t="shared" si="18"/>
        <v>0</v>
      </c>
      <c r="N293" s="1304"/>
      <c r="O293" s="783">
        <f t="shared" si="19"/>
        <v>0</v>
      </c>
      <c r="P293" s="783">
        <f t="shared" si="20"/>
        <v>0</v>
      </c>
    </row>
    <row r="294" spans="3:16">
      <c r="C294" s="779">
        <f>IF(D268="","-",+C293+1)</f>
        <v>2033</v>
      </c>
      <c r="D294" s="727">
        <f t="shared" si="21"/>
        <v>2741506.4166666679</v>
      </c>
      <c r="E294" s="780">
        <f t="shared" si="23"/>
        <v>161265.08333333334</v>
      </c>
      <c r="F294" s="780">
        <f t="shared" si="17"/>
        <v>2580241.3333333344</v>
      </c>
      <c r="G294" s="727">
        <f t="shared" si="22"/>
        <v>2660873.8750000009</v>
      </c>
      <c r="H294" s="785">
        <f>+J269*G294+E294</f>
        <v>466898.00289574591</v>
      </c>
      <c r="I294" s="786">
        <f>+J270*G294+E294</f>
        <v>466898.00289574591</v>
      </c>
      <c r="J294" s="783">
        <f t="shared" si="24"/>
        <v>0</v>
      </c>
      <c r="K294" s="783"/>
      <c r="L294" s="1304"/>
      <c r="M294" s="783">
        <f t="shared" si="18"/>
        <v>0</v>
      </c>
      <c r="N294" s="1304"/>
      <c r="O294" s="783">
        <f t="shared" si="19"/>
        <v>0</v>
      </c>
      <c r="P294" s="783">
        <f t="shared" si="20"/>
        <v>0</v>
      </c>
    </row>
    <row r="295" spans="3:16">
      <c r="C295" s="779">
        <f>IF(D268="","-",+C294+1)</f>
        <v>2034</v>
      </c>
      <c r="D295" s="727">
        <f t="shared" si="21"/>
        <v>2580241.3333333344</v>
      </c>
      <c r="E295" s="780">
        <f t="shared" si="23"/>
        <v>161265.08333333334</v>
      </c>
      <c r="F295" s="780">
        <f t="shared" si="17"/>
        <v>2418976.2500000009</v>
      </c>
      <c r="G295" s="727">
        <f t="shared" si="22"/>
        <v>2499608.7916666679</v>
      </c>
      <c r="H295" s="785">
        <f>+J269*G295+E295</f>
        <v>448374.7956495391</v>
      </c>
      <c r="I295" s="786">
        <f>+J270*G295+E295</f>
        <v>448374.7956495391</v>
      </c>
      <c r="J295" s="783">
        <f t="shared" si="24"/>
        <v>0</v>
      </c>
      <c r="K295" s="783"/>
      <c r="L295" s="1304"/>
      <c r="M295" s="783">
        <f t="shared" si="18"/>
        <v>0</v>
      </c>
      <c r="N295" s="1304"/>
      <c r="O295" s="783">
        <f t="shared" si="19"/>
        <v>0</v>
      </c>
      <c r="P295" s="783">
        <f t="shared" si="20"/>
        <v>0</v>
      </c>
    </row>
    <row r="296" spans="3:16">
      <c r="C296" s="779">
        <f>IF(D268="","-",+C295+1)</f>
        <v>2035</v>
      </c>
      <c r="D296" s="727">
        <f t="shared" si="21"/>
        <v>2418976.2500000009</v>
      </c>
      <c r="E296" s="780">
        <f t="shared" si="23"/>
        <v>161265.08333333334</v>
      </c>
      <c r="F296" s="780">
        <f t="shared" si="17"/>
        <v>2257711.1666666674</v>
      </c>
      <c r="G296" s="727">
        <f t="shared" si="22"/>
        <v>2338343.708333334</v>
      </c>
      <c r="H296" s="785">
        <f>+J269*G296+E296</f>
        <v>429851.58840333216</v>
      </c>
      <c r="I296" s="786">
        <f>+J270*G296+E296</f>
        <v>429851.58840333216</v>
      </c>
      <c r="J296" s="783">
        <f t="shared" si="24"/>
        <v>0</v>
      </c>
      <c r="K296" s="783"/>
      <c r="L296" s="1304"/>
      <c r="M296" s="783">
        <f t="shared" si="18"/>
        <v>0</v>
      </c>
      <c r="N296" s="1304"/>
      <c r="O296" s="783">
        <f t="shared" si="19"/>
        <v>0</v>
      </c>
      <c r="P296" s="783">
        <f t="shared" si="20"/>
        <v>0</v>
      </c>
    </row>
    <row r="297" spans="3:16">
      <c r="C297" s="779">
        <f>IF(D268="","-",+C296+1)</f>
        <v>2036</v>
      </c>
      <c r="D297" s="727">
        <f t="shared" si="21"/>
        <v>2257711.1666666674</v>
      </c>
      <c r="E297" s="780">
        <f t="shared" si="23"/>
        <v>161265.08333333334</v>
      </c>
      <c r="F297" s="780">
        <f t="shared" si="17"/>
        <v>2096446.0833333342</v>
      </c>
      <c r="G297" s="727">
        <f t="shared" si="22"/>
        <v>2177078.6250000009</v>
      </c>
      <c r="H297" s="785">
        <f>+J269*G297+E297</f>
        <v>411328.38115712546</v>
      </c>
      <c r="I297" s="786">
        <f>+J270*G297+E297</f>
        <v>411328.38115712546</v>
      </c>
      <c r="J297" s="783">
        <f t="shared" si="24"/>
        <v>0</v>
      </c>
      <c r="K297" s="783"/>
      <c r="L297" s="1304"/>
      <c r="M297" s="783">
        <f t="shared" si="18"/>
        <v>0</v>
      </c>
      <c r="N297" s="1304"/>
      <c r="O297" s="783">
        <f t="shared" si="19"/>
        <v>0</v>
      </c>
      <c r="P297" s="783">
        <f t="shared" si="20"/>
        <v>0</v>
      </c>
    </row>
    <row r="298" spans="3:16">
      <c r="C298" s="779">
        <f>IF(D268="","-",+C297+1)</f>
        <v>2037</v>
      </c>
      <c r="D298" s="727">
        <f t="shared" si="21"/>
        <v>2096446.0833333342</v>
      </c>
      <c r="E298" s="780">
        <f t="shared" si="23"/>
        <v>161265.08333333334</v>
      </c>
      <c r="F298" s="780">
        <f t="shared" si="17"/>
        <v>1935181.0000000009</v>
      </c>
      <c r="G298" s="727">
        <f t="shared" si="22"/>
        <v>2015813.5416666674</v>
      </c>
      <c r="H298" s="785">
        <f>+J269*G298+E298</f>
        <v>392805.17391091859</v>
      </c>
      <c r="I298" s="786">
        <f>+J270*G298+E298</f>
        <v>392805.17391091859</v>
      </c>
      <c r="J298" s="783">
        <f t="shared" si="24"/>
        <v>0</v>
      </c>
      <c r="K298" s="783"/>
      <c r="L298" s="1304"/>
      <c r="M298" s="783">
        <f t="shared" si="18"/>
        <v>0</v>
      </c>
      <c r="N298" s="1304"/>
      <c r="O298" s="783">
        <f t="shared" si="19"/>
        <v>0</v>
      </c>
      <c r="P298" s="783">
        <f t="shared" si="20"/>
        <v>0</v>
      </c>
    </row>
    <row r="299" spans="3:16">
      <c r="C299" s="779">
        <f>IF(D268="","-",+C298+1)</f>
        <v>2038</v>
      </c>
      <c r="D299" s="727">
        <f t="shared" si="21"/>
        <v>1935181.0000000009</v>
      </c>
      <c r="E299" s="780">
        <f t="shared" si="23"/>
        <v>161265.08333333334</v>
      </c>
      <c r="F299" s="780">
        <f t="shared" si="17"/>
        <v>1773915.9166666677</v>
      </c>
      <c r="G299" s="727">
        <f t="shared" si="22"/>
        <v>1854548.4583333344</v>
      </c>
      <c r="H299" s="785">
        <f>+J269*G299+E299</f>
        <v>374281.96666471183</v>
      </c>
      <c r="I299" s="786">
        <f>+J270*G299+E299</f>
        <v>374281.96666471183</v>
      </c>
      <c r="J299" s="783">
        <f t="shared" si="24"/>
        <v>0</v>
      </c>
      <c r="K299" s="783"/>
      <c r="L299" s="1304"/>
      <c r="M299" s="783">
        <f t="shared" si="18"/>
        <v>0</v>
      </c>
      <c r="N299" s="1304"/>
      <c r="O299" s="783">
        <f t="shared" si="19"/>
        <v>0</v>
      </c>
      <c r="P299" s="783">
        <f t="shared" si="20"/>
        <v>0</v>
      </c>
    </row>
    <row r="300" spans="3:16">
      <c r="C300" s="779">
        <f>IF(D268="","-",+C299+1)</f>
        <v>2039</v>
      </c>
      <c r="D300" s="727">
        <f t="shared" si="21"/>
        <v>1773915.9166666677</v>
      </c>
      <c r="E300" s="780">
        <f t="shared" si="23"/>
        <v>161265.08333333334</v>
      </c>
      <c r="F300" s="780">
        <f t="shared" si="17"/>
        <v>1612650.8333333344</v>
      </c>
      <c r="G300" s="727">
        <f t="shared" si="22"/>
        <v>1693283.3750000009</v>
      </c>
      <c r="H300" s="785">
        <f>+J269*G300+E300</f>
        <v>355758.75941850501</v>
      </c>
      <c r="I300" s="786">
        <f>+J270*G300+E300</f>
        <v>355758.75941850501</v>
      </c>
      <c r="J300" s="783">
        <f t="shared" si="24"/>
        <v>0</v>
      </c>
      <c r="K300" s="783"/>
      <c r="L300" s="1304"/>
      <c r="M300" s="783">
        <f t="shared" si="18"/>
        <v>0</v>
      </c>
      <c r="N300" s="1304"/>
      <c r="O300" s="783">
        <f t="shared" si="19"/>
        <v>0</v>
      </c>
      <c r="P300" s="783">
        <f t="shared" si="20"/>
        <v>0</v>
      </c>
    </row>
    <row r="301" spans="3:16">
      <c r="C301" s="779">
        <f>IF(D268="","-",+C300+1)</f>
        <v>2040</v>
      </c>
      <c r="D301" s="727">
        <f t="shared" si="21"/>
        <v>1612650.8333333344</v>
      </c>
      <c r="E301" s="780">
        <f t="shared" si="23"/>
        <v>161265.08333333334</v>
      </c>
      <c r="F301" s="780">
        <f t="shared" si="17"/>
        <v>1451385.7500000012</v>
      </c>
      <c r="G301" s="727">
        <f t="shared" si="22"/>
        <v>1532018.2916666679</v>
      </c>
      <c r="H301" s="785">
        <f>+J269*G301+E301</f>
        <v>337235.55217229819</v>
      </c>
      <c r="I301" s="786">
        <f>+J270*G301+E301</f>
        <v>337235.55217229819</v>
      </c>
      <c r="J301" s="783">
        <f t="shared" si="24"/>
        <v>0</v>
      </c>
      <c r="K301" s="783"/>
      <c r="L301" s="1304"/>
      <c r="M301" s="783">
        <f t="shared" si="18"/>
        <v>0</v>
      </c>
      <c r="N301" s="1304"/>
      <c r="O301" s="783">
        <f t="shared" si="19"/>
        <v>0</v>
      </c>
      <c r="P301" s="783">
        <f t="shared" si="20"/>
        <v>0</v>
      </c>
    </row>
    <row r="302" spans="3:16">
      <c r="C302" s="779">
        <f>IF(D268="","-",+C301+1)</f>
        <v>2041</v>
      </c>
      <c r="D302" s="727">
        <f t="shared" si="21"/>
        <v>1451385.7500000012</v>
      </c>
      <c r="E302" s="780">
        <f t="shared" si="23"/>
        <v>161265.08333333334</v>
      </c>
      <c r="F302" s="780">
        <f t="shared" si="17"/>
        <v>1290120.6666666679</v>
      </c>
      <c r="G302" s="727">
        <f t="shared" si="22"/>
        <v>1370753.2083333344</v>
      </c>
      <c r="H302" s="785">
        <f>+J269*G302+E302</f>
        <v>318712.34492609138</v>
      </c>
      <c r="I302" s="786">
        <f>+J270*G302+E302</f>
        <v>318712.34492609138</v>
      </c>
      <c r="J302" s="783">
        <f t="shared" si="24"/>
        <v>0</v>
      </c>
      <c r="K302" s="783"/>
      <c r="L302" s="1304"/>
      <c r="M302" s="783">
        <f t="shared" si="18"/>
        <v>0</v>
      </c>
      <c r="N302" s="1304"/>
      <c r="O302" s="783">
        <f t="shared" si="19"/>
        <v>0</v>
      </c>
      <c r="P302" s="783">
        <f t="shared" si="20"/>
        <v>0</v>
      </c>
    </row>
    <row r="303" spans="3:16">
      <c r="C303" s="779">
        <f>IF(D268="","-",+C302+1)</f>
        <v>2042</v>
      </c>
      <c r="D303" s="727">
        <f t="shared" si="21"/>
        <v>1290120.6666666679</v>
      </c>
      <c r="E303" s="780">
        <f t="shared" si="23"/>
        <v>161265.08333333334</v>
      </c>
      <c r="F303" s="780">
        <f t="shared" si="17"/>
        <v>1128855.5833333347</v>
      </c>
      <c r="G303" s="727">
        <f t="shared" si="22"/>
        <v>1209488.1250000014</v>
      </c>
      <c r="H303" s="785">
        <f>+J269*G303+E303</f>
        <v>300189.13767988456</v>
      </c>
      <c r="I303" s="786">
        <f>+J270*G303+E303</f>
        <v>300189.13767988456</v>
      </c>
      <c r="J303" s="783">
        <f t="shared" si="24"/>
        <v>0</v>
      </c>
      <c r="K303" s="783"/>
      <c r="L303" s="1304"/>
      <c r="M303" s="783">
        <f t="shared" si="18"/>
        <v>0</v>
      </c>
      <c r="N303" s="1304"/>
      <c r="O303" s="783">
        <f t="shared" si="19"/>
        <v>0</v>
      </c>
      <c r="P303" s="783">
        <f t="shared" si="20"/>
        <v>0</v>
      </c>
    </row>
    <row r="304" spans="3:16">
      <c r="C304" s="779">
        <f>IF(D268="","-",+C303+1)</f>
        <v>2043</v>
      </c>
      <c r="D304" s="727">
        <f t="shared" si="21"/>
        <v>1128855.5833333347</v>
      </c>
      <c r="E304" s="780">
        <f t="shared" si="23"/>
        <v>161265.08333333334</v>
      </c>
      <c r="F304" s="780">
        <f t="shared" si="17"/>
        <v>967590.50000000128</v>
      </c>
      <c r="G304" s="727">
        <f t="shared" si="22"/>
        <v>1048223.0416666679</v>
      </c>
      <c r="H304" s="785">
        <f>+J269*G304+E304</f>
        <v>281665.93043367774</v>
      </c>
      <c r="I304" s="786">
        <f>+J270*G304+E304</f>
        <v>281665.93043367774</v>
      </c>
      <c r="J304" s="783">
        <f t="shared" si="24"/>
        <v>0</v>
      </c>
      <c r="K304" s="783"/>
      <c r="L304" s="1304"/>
      <c r="M304" s="783">
        <f t="shared" si="18"/>
        <v>0</v>
      </c>
      <c r="N304" s="1304"/>
      <c r="O304" s="783">
        <f t="shared" si="19"/>
        <v>0</v>
      </c>
      <c r="P304" s="783">
        <f t="shared" si="20"/>
        <v>0</v>
      </c>
    </row>
    <row r="305" spans="3:16">
      <c r="C305" s="779">
        <f>IF(D268="","-",+C304+1)</f>
        <v>2044</v>
      </c>
      <c r="D305" s="727">
        <f t="shared" si="21"/>
        <v>967590.50000000128</v>
      </c>
      <c r="E305" s="780">
        <f t="shared" si="23"/>
        <v>161265.08333333334</v>
      </c>
      <c r="F305" s="780">
        <f t="shared" si="17"/>
        <v>806325.41666666791</v>
      </c>
      <c r="G305" s="727">
        <f t="shared" si="22"/>
        <v>886957.95833333465</v>
      </c>
      <c r="H305" s="785">
        <f>+J269*G305+E305</f>
        <v>263142.72318747098</v>
      </c>
      <c r="I305" s="786">
        <f>+J270*G305+E305</f>
        <v>263142.72318747098</v>
      </c>
      <c r="J305" s="783">
        <f t="shared" si="24"/>
        <v>0</v>
      </c>
      <c r="K305" s="783"/>
      <c r="L305" s="1304"/>
      <c r="M305" s="783">
        <f t="shared" si="18"/>
        <v>0</v>
      </c>
      <c r="N305" s="1304"/>
      <c r="O305" s="783">
        <f t="shared" si="19"/>
        <v>0</v>
      </c>
      <c r="P305" s="783">
        <f t="shared" si="20"/>
        <v>0</v>
      </c>
    </row>
    <row r="306" spans="3:16">
      <c r="C306" s="779">
        <f>IF(D268="","-",+C305+1)</f>
        <v>2045</v>
      </c>
      <c r="D306" s="727">
        <f t="shared" si="21"/>
        <v>806325.41666666791</v>
      </c>
      <c r="E306" s="780">
        <f t="shared" si="23"/>
        <v>161265.08333333334</v>
      </c>
      <c r="F306" s="780">
        <f t="shared" si="17"/>
        <v>645060.33333333454</v>
      </c>
      <c r="G306" s="727">
        <f t="shared" si="22"/>
        <v>725692.87500000116</v>
      </c>
      <c r="H306" s="785">
        <f>+J269*G306+E306</f>
        <v>244619.51594126414</v>
      </c>
      <c r="I306" s="786">
        <f>+J270*G306+E306</f>
        <v>244619.51594126414</v>
      </c>
      <c r="J306" s="783">
        <f t="shared" si="24"/>
        <v>0</v>
      </c>
      <c r="K306" s="783"/>
      <c r="L306" s="1304"/>
      <c r="M306" s="783">
        <f t="shared" si="18"/>
        <v>0</v>
      </c>
      <c r="N306" s="1304"/>
      <c r="O306" s="783">
        <f t="shared" si="19"/>
        <v>0</v>
      </c>
      <c r="P306" s="783">
        <f t="shared" si="20"/>
        <v>0</v>
      </c>
    </row>
    <row r="307" spans="3:16">
      <c r="C307" s="779">
        <f>IF(D268="","-",+C306+1)</f>
        <v>2046</v>
      </c>
      <c r="D307" s="727">
        <f t="shared" si="21"/>
        <v>645060.33333333454</v>
      </c>
      <c r="E307" s="780">
        <f t="shared" si="23"/>
        <v>161265.08333333334</v>
      </c>
      <c r="F307" s="780">
        <f t="shared" si="17"/>
        <v>483795.25000000116</v>
      </c>
      <c r="G307" s="727">
        <f t="shared" si="22"/>
        <v>564427.79166666791</v>
      </c>
      <c r="H307" s="785">
        <f>+J269*G307+E307</f>
        <v>226096.30869505735</v>
      </c>
      <c r="I307" s="786">
        <f>+J270*G307+E307</f>
        <v>226096.30869505735</v>
      </c>
      <c r="J307" s="783">
        <f t="shared" si="24"/>
        <v>0</v>
      </c>
      <c r="K307" s="783"/>
      <c r="L307" s="1304"/>
      <c r="M307" s="783">
        <f t="shared" si="18"/>
        <v>0</v>
      </c>
      <c r="N307" s="1304"/>
      <c r="O307" s="783">
        <f t="shared" si="19"/>
        <v>0</v>
      </c>
      <c r="P307" s="783">
        <f t="shared" si="20"/>
        <v>0</v>
      </c>
    </row>
    <row r="308" spans="3:16">
      <c r="C308" s="779">
        <f>IF(D268="","-",+C307+1)</f>
        <v>2047</v>
      </c>
      <c r="D308" s="727">
        <f t="shared" si="21"/>
        <v>483795.25000000116</v>
      </c>
      <c r="E308" s="780">
        <f t="shared" si="23"/>
        <v>161265.08333333334</v>
      </c>
      <c r="F308" s="780">
        <f t="shared" si="17"/>
        <v>322530.16666666779</v>
      </c>
      <c r="G308" s="727">
        <f t="shared" si="22"/>
        <v>403162.70833333448</v>
      </c>
      <c r="H308" s="785">
        <f>+J269*G308+E308</f>
        <v>207573.1014488505</v>
      </c>
      <c r="I308" s="786">
        <f>+J270*G308+E308</f>
        <v>207573.1014488505</v>
      </c>
      <c r="J308" s="783">
        <f t="shared" si="24"/>
        <v>0</v>
      </c>
      <c r="K308" s="783"/>
      <c r="L308" s="1304"/>
      <c r="M308" s="783">
        <f t="shared" si="18"/>
        <v>0</v>
      </c>
      <c r="N308" s="1304"/>
      <c r="O308" s="783">
        <f t="shared" si="19"/>
        <v>0</v>
      </c>
      <c r="P308" s="783">
        <f t="shared" si="20"/>
        <v>0</v>
      </c>
    </row>
    <row r="309" spans="3:16">
      <c r="C309" s="779">
        <f>IF(D268="","-",+C308+1)</f>
        <v>2048</v>
      </c>
      <c r="D309" s="727">
        <f t="shared" si="21"/>
        <v>322530.16666666779</v>
      </c>
      <c r="E309" s="780">
        <f t="shared" si="23"/>
        <v>161265.08333333334</v>
      </c>
      <c r="F309" s="780">
        <f t="shared" si="17"/>
        <v>161265.08333333445</v>
      </c>
      <c r="G309" s="727">
        <f t="shared" si="22"/>
        <v>241897.62500000111</v>
      </c>
      <c r="H309" s="785">
        <f>+J269*G309+E309</f>
        <v>189049.89420264369</v>
      </c>
      <c r="I309" s="786">
        <f>+J270*G309+E309</f>
        <v>189049.89420264369</v>
      </c>
      <c r="J309" s="783">
        <f t="shared" si="24"/>
        <v>0</v>
      </c>
      <c r="K309" s="783"/>
      <c r="L309" s="1304"/>
      <c r="M309" s="783">
        <f t="shared" si="18"/>
        <v>0</v>
      </c>
      <c r="N309" s="1304"/>
      <c r="O309" s="783">
        <f t="shared" si="19"/>
        <v>0</v>
      </c>
      <c r="P309" s="783">
        <f t="shared" si="20"/>
        <v>0</v>
      </c>
    </row>
    <row r="310" spans="3:16">
      <c r="C310" s="779">
        <f>IF(D268="","-",+C309+1)</f>
        <v>2049</v>
      </c>
      <c r="D310" s="727">
        <f t="shared" si="21"/>
        <v>161265.08333333445</v>
      </c>
      <c r="E310" s="780">
        <f t="shared" si="23"/>
        <v>161265.08333333334</v>
      </c>
      <c r="F310" s="780">
        <f t="shared" si="17"/>
        <v>1.1059455573558807E-9</v>
      </c>
      <c r="G310" s="727">
        <f t="shared" si="22"/>
        <v>80632.541666667777</v>
      </c>
      <c r="H310" s="785">
        <f>+J269*G310+E310</f>
        <v>170526.68695643687</v>
      </c>
      <c r="I310" s="786">
        <f>+J270*G310+E310</f>
        <v>170526.68695643687</v>
      </c>
      <c r="J310" s="783">
        <f t="shared" si="24"/>
        <v>0</v>
      </c>
      <c r="K310" s="783"/>
      <c r="L310" s="1304"/>
      <c r="M310" s="783">
        <f t="shared" si="18"/>
        <v>0</v>
      </c>
      <c r="N310" s="1304"/>
      <c r="O310" s="783">
        <f t="shared" si="19"/>
        <v>0</v>
      </c>
      <c r="P310" s="783">
        <f t="shared" si="20"/>
        <v>0</v>
      </c>
    </row>
    <row r="311" spans="3:16">
      <c r="C311" s="779">
        <f>IF(D268="","-",+C310+1)</f>
        <v>2050</v>
      </c>
      <c r="D311" s="727">
        <f t="shared" si="21"/>
        <v>1.1059455573558807E-9</v>
      </c>
      <c r="E311" s="780">
        <f t="shared" si="23"/>
        <v>1.1059455573558807E-9</v>
      </c>
      <c r="F311" s="780">
        <f t="shared" si="17"/>
        <v>0</v>
      </c>
      <c r="G311" s="727">
        <f t="shared" si="22"/>
        <v>5.5297277867794037E-10</v>
      </c>
      <c r="H311" s="785">
        <f>+J269*G311+E311</f>
        <v>1.1694610386320756E-9</v>
      </c>
      <c r="I311" s="786">
        <f>+J270*G311+E311</f>
        <v>1.1694610386320756E-9</v>
      </c>
      <c r="J311" s="783">
        <f t="shared" si="24"/>
        <v>0</v>
      </c>
      <c r="K311" s="783"/>
      <c r="L311" s="1304"/>
      <c r="M311" s="783">
        <f t="shared" si="18"/>
        <v>0</v>
      </c>
      <c r="N311" s="1304"/>
      <c r="O311" s="783">
        <f t="shared" si="19"/>
        <v>0</v>
      </c>
      <c r="P311" s="783">
        <f t="shared" si="20"/>
        <v>0</v>
      </c>
    </row>
    <row r="312" spans="3:16">
      <c r="C312" s="779">
        <f>IF(D268="","-",+C311+1)</f>
        <v>2051</v>
      </c>
      <c r="D312" s="727">
        <f t="shared" si="21"/>
        <v>0</v>
      </c>
      <c r="E312" s="780">
        <f t="shared" si="23"/>
        <v>0</v>
      </c>
      <c r="F312" s="780">
        <f t="shared" si="17"/>
        <v>0</v>
      </c>
      <c r="G312" s="727">
        <f t="shared" si="22"/>
        <v>0</v>
      </c>
      <c r="H312" s="785">
        <f>+J269*G312+E312</f>
        <v>0</v>
      </c>
      <c r="I312" s="786">
        <f>+J270*G312+E312</f>
        <v>0</v>
      </c>
      <c r="J312" s="783">
        <f t="shared" si="24"/>
        <v>0</v>
      </c>
      <c r="K312" s="783"/>
      <c r="L312" s="1304"/>
      <c r="M312" s="783">
        <f t="shared" si="18"/>
        <v>0</v>
      </c>
      <c r="N312" s="1304"/>
      <c r="O312" s="783">
        <f t="shared" si="19"/>
        <v>0</v>
      </c>
      <c r="P312" s="783">
        <f t="shared" si="20"/>
        <v>0</v>
      </c>
    </row>
    <row r="313" spans="3:16">
      <c r="C313" s="779">
        <f>IF(D268="","-",+C312+1)</f>
        <v>2052</v>
      </c>
      <c r="D313" s="727">
        <f t="shared" si="21"/>
        <v>0</v>
      </c>
      <c r="E313" s="780">
        <f t="shared" si="23"/>
        <v>0</v>
      </c>
      <c r="F313" s="780">
        <f t="shared" si="17"/>
        <v>0</v>
      </c>
      <c r="G313" s="727">
        <f t="shared" si="22"/>
        <v>0</v>
      </c>
      <c r="H313" s="785">
        <f>+J269*G313+E313</f>
        <v>0</v>
      </c>
      <c r="I313" s="786">
        <f>+J270*G313+E313</f>
        <v>0</v>
      </c>
      <c r="J313" s="783">
        <f t="shared" si="24"/>
        <v>0</v>
      </c>
      <c r="K313" s="783"/>
      <c r="L313" s="1304"/>
      <c r="M313" s="783">
        <f t="shared" si="18"/>
        <v>0</v>
      </c>
      <c r="N313" s="1304"/>
      <c r="O313" s="783">
        <f t="shared" si="19"/>
        <v>0</v>
      </c>
      <c r="P313" s="783">
        <f t="shared" si="20"/>
        <v>0</v>
      </c>
    </row>
    <row r="314" spans="3:16">
      <c r="C314" s="779">
        <f>IF(D268="","-",+C313+1)</f>
        <v>2053</v>
      </c>
      <c r="D314" s="727">
        <f t="shared" si="21"/>
        <v>0</v>
      </c>
      <c r="E314" s="780">
        <f t="shared" si="23"/>
        <v>0</v>
      </c>
      <c r="F314" s="780">
        <f t="shared" si="17"/>
        <v>0</v>
      </c>
      <c r="G314" s="727">
        <f t="shared" si="22"/>
        <v>0</v>
      </c>
      <c r="H314" s="785">
        <f>+J269*G314+E314</f>
        <v>0</v>
      </c>
      <c r="I314" s="786">
        <f>+J270*G314+E314</f>
        <v>0</v>
      </c>
      <c r="J314" s="783">
        <f t="shared" si="24"/>
        <v>0</v>
      </c>
      <c r="K314" s="783"/>
      <c r="L314" s="1304"/>
      <c r="M314" s="783">
        <f t="shared" si="18"/>
        <v>0</v>
      </c>
      <c r="N314" s="1304"/>
      <c r="O314" s="783">
        <f t="shared" si="19"/>
        <v>0</v>
      </c>
      <c r="P314" s="783">
        <f t="shared" si="20"/>
        <v>0</v>
      </c>
    </row>
    <row r="315" spans="3:16">
      <c r="C315" s="779">
        <f>IF(D268="","-",+C314+1)</f>
        <v>2054</v>
      </c>
      <c r="D315" s="727">
        <f t="shared" si="21"/>
        <v>0</v>
      </c>
      <c r="E315" s="780">
        <f t="shared" si="23"/>
        <v>0</v>
      </c>
      <c r="F315" s="780">
        <f t="shared" si="17"/>
        <v>0</v>
      </c>
      <c r="G315" s="727">
        <f t="shared" si="22"/>
        <v>0</v>
      </c>
      <c r="H315" s="785">
        <f>+J269*G315+E315</f>
        <v>0</v>
      </c>
      <c r="I315" s="786">
        <f>+J270*G315+E315</f>
        <v>0</v>
      </c>
      <c r="J315" s="783">
        <f t="shared" si="24"/>
        <v>0</v>
      </c>
      <c r="K315" s="783"/>
      <c r="L315" s="1304"/>
      <c r="M315" s="783">
        <f t="shared" si="18"/>
        <v>0</v>
      </c>
      <c r="N315" s="1304"/>
      <c r="O315" s="783">
        <f t="shared" si="19"/>
        <v>0</v>
      </c>
      <c r="P315" s="783">
        <f t="shared" si="20"/>
        <v>0</v>
      </c>
    </row>
    <row r="316" spans="3:16">
      <c r="C316" s="779">
        <f>IF(D268="","-",+C315+1)</f>
        <v>2055</v>
      </c>
      <c r="D316" s="727">
        <f t="shared" si="21"/>
        <v>0</v>
      </c>
      <c r="E316" s="780">
        <f t="shared" si="23"/>
        <v>0</v>
      </c>
      <c r="F316" s="780">
        <f t="shared" si="17"/>
        <v>0</v>
      </c>
      <c r="G316" s="727">
        <f t="shared" si="22"/>
        <v>0</v>
      </c>
      <c r="H316" s="785">
        <f>+J269*G316+E316</f>
        <v>0</v>
      </c>
      <c r="I316" s="786">
        <f>+J270*G316+E316</f>
        <v>0</v>
      </c>
      <c r="J316" s="783">
        <f t="shared" si="24"/>
        <v>0</v>
      </c>
      <c r="K316" s="783"/>
      <c r="L316" s="1304"/>
      <c r="M316" s="783">
        <f t="shared" si="18"/>
        <v>0</v>
      </c>
      <c r="N316" s="1304"/>
      <c r="O316" s="783">
        <f t="shared" si="19"/>
        <v>0</v>
      </c>
      <c r="P316" s="783">
        <f t="shared" si="20"/>
        <v>0</v>
      </c>
    </row>
    <row r="317" spans="3:16">
      <c r="C317" s="779">
        <f>IF(D268="","-",+C316+1)</f>
        <v>2056</v>
      </c>
      <c r="D317" s="727">
        <f t="shared" si="21"/>
        <v>0</v>
      </c>
      <c r="E317" s="780">
        <f t="shared" si="23"/>
        <v>0</v>
      </c>
      <c r="F317" s="780">
        <f t="shared" si="17"/>
        <v>0</v>
      </c>
      <c r="G317" s="727">
        <f t="shared" si="22"/>
        <v>0</v>
      </c>
      <c r="H317" s="785">
        <f>+J269*G317+E317</f>
        <v>0</v>
      </c>
      <c r="I317" s="786">
        <f>+J270*G317+E317</f>
        <v>0</v>
      </c>
      <c r="J317" s="783">
        <f t="shared" si="24"/>
        <v>0</v>
      </c>
      <c r="K317" s="783"/>
      <c r="L317" s="1304"/>
      <c r="M317" s="783">
        <f t="shared" si="18"/>
        <v>0</v>
      </c>
      <c r="N317" s="1304"/>
      <c r="O317" s="783">
        <f t="shared" si="19"/>
        <v>0</v>
      </c>
      <c r="P317" s="783">
        <f t="shared" si="20"/>
        <v>0</v>
      </c>
    </row>
    <row r="318" spans="3:16">
      <c r="C318" s="779">
        <f>IF(D268="","-",+C317+1)</f>
        <v>2057</v>
      </c>
      <c r="D318" s="727">
        <f t="shared" si="21"/>
        <v>0</v>
      </c>
      <c r="E318" s="780">
        <f t="shared" si="23"/>
        <v>0</v>
      </c>
      <c r="F318" s="780">
        <f t="shared" si="17"/>
        <v>0</v>
      </c>
      <c r="G318" s="727">
        <f t="shared" si="22"/>
        <v>0</v>
      </c>
      <c r="H318" s="785">
        <f>+J269*G318+E318</f>
        <v>0</v>
      </c>
      <c r="I318" s="786">
        <f>+J270*G318+E318</f>
        <v>0</v>
      </c>
      <c r="J318" s="783">
        <f t="shared" si="24"/>
        <v>0</v>
      </c>
      <c r="K318" s="783"/>
      <c r="L318" s="1304"/>
      <c r="M318" s="783">
        <f t="shared" si="18"/>
        <v>0</v>
      </c>
      <c r="N318" s="1304"/>
      <c r="O318" s="783">
        <f t="shared" si="19"/>
        <v>0</v>
      </c>
      <c r="P318" s="783">
        <f t="shared" si="20"/>
        <v>0</v>
      </c>
    </row>
    <row r="319" spans="3:16">
      <c r="C319" s="779">
        <f>IF(D268="","-",+C318+1)</f>
        <v>2058</v>
      </c>
      <c r="D319" s="727">
        <f t="shared" si="21"/>
        <v>0</v>
      </c>
      <c r="E319" s="780">
        <f t="shared" si="23"/>
        <v>0</v>
      </c>
      <c r="F319" s="780">
        <f t="shared" si="17"/>
        <v>0</v>
      </c>
      <c r="G319" s="727">
        <f t="shared" si="22"/>
        <v>0</v>
      </c>
      <c r="H319" s="785">
        <f>+J269*G319+E319</f>
        <v>0</v>
      </c>
      <c r="I319" s="786">
        <f>+J270*G319+E319</f>
        <v>0</v>
      </c>
      <c r="J319" s="783">
        <f t="shared" si="24"/>
        <v>0</v>
      </c>
      <c r="K319" s="783"/>
      <c r="L319" s="1304"/>
      <c r="M319" s="783">
        <f t="shared" si="18"/>
        <v>0</v>
      </c>
      <c r="N319" s="1304"/>
      <c r="O319" s="783">
        <f t="shared" si="19"/>
        <v>0</v>
      </c>
      <c r="P319" s="783">
        <f t="shared" si="20"/>
        <v>0</v>
      </c>
    </row>
    <row r="320" spans="3:16">
      <c r="C320" s="779">
        <f>IF(D268="","-",+C319+1)</f>
        <v>2059</v>
      </c>
      <c r="D320" s="727">
        <f t="shared" si="21"/>
        <v>0</v>
      </c>
      <c r="E320" s="780">
        <f t="shared" si="23"/>
        <v>0</v>
      </c>
      <c r="F320" s="780">
        <f t="shared" si="17"/>
        <v>0</v>
      </c>
      <c r="G320" s="727">
        <f t="shared" si="22"/>
        <v>0</v>
      </c>
      <c r="H320" s="785">
        <f>+J269*G320+E320</f>
        <v>0</v>
      </c>
      <c r="I320" s="786">
        <f>+J270*G320+E320</f>
        <v>0</v>
      </c>
      <c r="J320" s="783">
        <f t="shared" si="24"/>
        <v>0</v>
      </c>
      <c r="K320" s="783"/>
      <c r="L320" s="1304"/>
      <c r="M320" s="783">
        <f t="shared" si="18"/>
        <v>0</v>
      </c>
      <c r="N320" s="1304"/>
      <c r="O320" s="783">
        <f t="shared" si="19"/>
        <v>0</v>
      </c>
      <c r="P320" s="783">
        <f t="shared" si="20"/>
        <v>0</v>
      </c>
    </row>
    <row r="321" spans="3:16">
      <c r="C321" s="779">
        <f>IF(D268="","-",+C320+1)</f>
        <v>2060</v>
      </c>
      <c r="D321" s="727">
        <f t="shared" si="21"/>
        <v>0</v>
      </c>
      <c r="E321" s="780">
        <f t="shared" si="23"/>
        <v>0</v>
      </c>
      <c r="F321" s="780">
        <f t="shared" si="17"/>
        <v>0</v>
      </c>
      <c r="G321" s="727">
        <f t="shared" si="22"/>
        <v>0</v>
      </c>
      <c r="H321" s="785">
        <f>+J269*G321+E321</f>
        <v>0</v>
      </c>
      <c r="I321" s="786">
        <f>+J270*G321+E321</f>
        <v>0</v>
      </c>
      <c r="J321" s="783">
        <f t="shared" si="24"/>
        <v>0</v>
      </c>
      <c r="K321" s="783"/>
      <c r="L321" s="1304"/>
      <c r="M321" s="783">
        <f t="shared" si="18"/>
        <v>0</v>
      </c>
      <c r="N321" s="1304"/>
      <c r="O321" s="783">
        <f t="shared" si="19"/>
        <v>0</v>
      </c>
      <c r="P321" s="783">
        <f t="shared" si="20"/>
        <v>0</v>
      </c>
    </row>
    <row r="322" spans="3:16">
      <c r="C322" s="779">
        <f>IF(D268="","-",+C321+1)</f>
        <v>2061</v>
      </c>
      <c r="D322" s="727">
        <f t="shared" si="21"/>
        <v>0</v>
      </c>
      <c r="E322" s="780">
        <f t="shared" si="23"/>
        <v>0</v>
      </c>
      <c r="F322" s="780">
        <f t="shared" si="17"/>
        <v>0</v>
      </c>
      <c r="G322" s="727">
        <f t="shared" si="22"/>
        <v>0</v>
      </c>
      <c r="H322" s="785">
        <f>+J269*G322+E322</f>
        <v>0</v>
      </c>
      <c r="I322" s="786">
        <f>+J270*G322+E322</f>
        <v>0</v>
      </c>
      <c r="J322" s="783">
        <f t="shared" si="24"/>
        <v>0</v>
      </c>
      <c r="K322" s="783"/>
      <c r="L322" s="1304"/>
      <c r="M322" s="783">
        <f t="shared" si="18"/>
        <v>0</v>
      </c>
      <c r="N322" s="1304"/>
      <c r="O322" s="783">
        <f t="shared" si="19"/>
        <v>0</v>
      </c>
      <c r="P322" s="783">
        <f t="shared" si="20"/>
        <v>0</v>
      </c>
    </row>
    <row r="323" spans="3:16">
      <c r="C323" s="779">
        <f>IF(D268="","-",+C322+1)</f>
        <v>2062</v>
      </c>
      <c r="D323" s="727">
        <f t="shared" si="21"/>
        <v>0</v>
      </c>
      <c r="E323" s="780">
        <f t="shared" si="23"/>
        <v>0</v>
      </c>
      <c r="F323" s="780">
        <f t="shared" si="17"/>
        <v>0</v>
      </c>
      <c r="G323" s="727">
        <f t="shared" si="22"/>
        <v>0</v>
      </c>
      <c r="H323" s="785">
        <f>+J269*G323+E323</f>
        <v>0</v>
      </c>
      <c r="I323" s="786">
        <f>+J270*G323+E323</f>
        <v>0</v>
      </c>
      <c r="J323" s="783">
        <f t="shared" si="24"/>
        <v>0</v>
      </c>
      <c r="K323" s="783"/>
      <c r="L323" s="1304"/>
      <c r="M323" s="783">
        <f t="shared" si="18"/>
        <v>0</v>
      </c>
      <c r="N323" s="1304"/>
      <c r="O323" s="783">
        <f t="shared" si="19"/>
        <v>0</v>
      </c>
      <c r="P323" s="783">
        <f t="shared" si="20"/>
        <v>0</v>
      </c>
    </row>
    <row r="324" spans="3:16">
      <c r="C324" s="779">
        <f>IF(D268="","-",+C323+1)</f>
        <v>2063</v>
      </c>
      <c r="D324" s="727">
        <f t="shared" si="21"/>
        <v>0</v>
      </c>
      <c r="E324" s="780">
        <f t="shared" si="23"/>
        <v>0</v>
      </c>
      <c r="F324" s="780">
        <f t="shared" si="17"/>
        <v>0</v>
      </c>
      <c r="G324" s="727">
        <f t="shared" si="22"/>
        <v>0</v>
      </c>
      <c r="H324" s="785">
        <f>+J269*G324+E324</f>
        <v>0</v>
      </c>
      <c r="I324" s="786">
        <f>+J270*G324+E324</f>
        <v>0</v>
      </c>
      <c r="J324" s="783">
        <f t="shared" si="24"/>
        <v>0</v>
      </c>
      <c r="K324" s="783"/>
      <c r="L324" s="1304"/>
      <c r="M324" s="783">
        <f t="shared" si="18"/>
        <v>0</v>
      </c>
      <c r="N324" s="1304"/>
      <c r="O324" s="783">
        <f t="shared" si="19"/>
        <v>0</v>
      </c>
      <c r="P324" s="783">
        <f t="shared" si="20"/>
        <v>0</v>
      </c>
    </row>
    <row r="325" spans="3:16">
      <c r="C325" s="779">
        <f>IF(D268="","-",+C324+1)</f>
        <v>2064</v>
      </c>
      <c r="D325" s="727">
        <f t="shared" si="21"/>
        <v>0</v>
      </c>
      <c r="E325" s="780">
        <f t="shared" si="23"/>
        <v>0</v>
      </c>
      <c r="F325" s="780">
        <f t="shared" si="17"/>
        <v>0</v>
      </c>
      <c r="G325" s="727">
        <f t="shared" si="22"/>
        <v>0</v>
      </c>
      <c r="H325" s="785">
        <f>+J269*G325+E325</f>
        <v>0</v>
      </c>
      <c r="I325" s="786">
        <f>+J270*G325+E325</f>
        <v>0</v>
      </c>
      <c r="J325" s="783">
        <f t="shared" si="24"/>
        <v>0</v>
      </c>
      <c r="K325" s="783"/>
      <c r="L325" s="1304"/>
      <c r="M325" s="783">
        <f t="shared" si="18"/>
        <v>0</v>
      </c>
      <c r="N325" s="1304"/>
      <c r="O325" s="783">
        <f t="shared" si="19"/>
        <v>0</v>
      </c>
      <c r="P325" s="783">
        <f t="shared" si="20"/>
        <v>0</v>
      </c>
    </row>
    <row r="326" spans="3:16">
      <c r="C326" s="779">
        <f>IF(D268="","-",+C325+1)</f>
        <v>2065</v>
      </c>
      <c r="D326" s="727">
        <f t="shared" si="21"/>
        <v>0</v>
      </c>
      <c r="E326" s="780">
        <f t="shared" si="23"/>
        <v>0</v>
      </c>
      <c r="F326" s="780">
        <f t="shared" si="17"/>
        <v>0</v>
      </c>
      <c r="G326" s="727">
        <f t="shared" si="22"/>
        <v>0</v>
      </c>
      <c r="H326" s="785">
        <f>+J269*G326+E326</f>
        <v>0</v>
      </c>
      <c r="I326" s="786">
        <f>+J270*G326+E326</f>
        <v>0</v>
      </c>
      <c r="J326" s="783">
        <f t="shared" si="24"/>
        <v>0</v>
      </c>
      <c r="K326" s="783"/>
      <c r="L326" s="1304"/>
      <c r="M326" s="783">
        <f t="shared" si="18"/>
        <v>0</v>
      </c>
      <c r="N326" s="1304"/>
      <c r="O326" s="783">
        <f t="shared" si="19"/>
        <v>0</v>
      </c>
      <c r="P326" s="783">
        <f t="shared" si="20"/>
        <v>0</v>
      </c>
    </row>
    <row r="327" spans="3:16">
      <c r="C327" s="779">
        <f>IF(D268="","-",+C326+1)</f>
        <v>2066</v>
      </c>
      <c r="D327" s="727">
        <f t="shared" si="21"/>
        <v>0</v>
      </c>
      <c r="E327" s="780">
        <f t="shared" si="23"/>
        <v>0</v>
      </c>
      <c r="F327" s="780">
        <f t="shared" si="17"/>
        <v>0</v>
      </c>
      <c r="G327" s="727">
        <f t="shared" si="22"/>
        <v>0</v>
      </c>
      <c r="H327" s="785">
        <f>+J269*G327+E327</f>
        <v>0</v>
      </c>
      <c r="I327" s="786">
        <f>+J270*G327+E327</f>
        <v>0</v>
      </c>
      <c r="J327" s="783">
        <f t="shared" si="24"/>
        <v>0</v>
      </c>
      <c r="K327" s="783"/>
      <c r="L327" s="1304"/>
      <c r="M327" s="783">
        <f t="shared" si="18"/>
        <v>0</v>
      </c>
      <c r="N327" s="1304"/>
      <c r="O327" s="783">
        <f t="shared" si="19"/>
        <v>0</v>
      </c>
      <c r="P327" s="783">
        <f t="shared" si="20"/>
        <v>0</v>
      </c>
    </row>
    <row r="328" spans="3:16">
      <c r="C328" s="779">
        <f>IF(D268="","-",+C327+1)</f>
        <v>2067</v>
      </c>
      <c r="D328" s="727">
        <f t="shared" ref="D328:D333" si="25">F327</f>
        <v>0</v>
      </c>
      <c r="E328" s="780">
        <f t="shared" si="23"/>
        <v>0</v>
      </c>
      <c r="F328" s="780">
        <f t="shared" si="17"/>
        <v>0</v>
      </c>
      <c r="G328" s="727">
        <f t="shared" si="22"/>
        <v>0</v>
      </c>
      <c r="H328" s="785">
        <f>+J269*G328+E328</f>
        <v>0</v>
      </c>
      <c r="I328" s="786">
        <f>+J270*G328+E328</f>
        <v>0</v>
      </c>
      <c r="J328" s="783">
        <f t="shared" si="24"/>
        <v>0</v>
      </c>
      <c r="K328" s="783"/>
      <c r="L328" s="1304"/>
      <c r="M328" s="783">
        <f t="shared" si="18"/>
        <v>0</v>
      </c>
      <c r="N328" s="1304"/>
      <c r="O328" s="783">
        <f t="shared" si="19"/>
        <v>0</v>
      </c>
      <c r="P328" s="783">
        <f t="shared" si="20"/>
        <v>0</v>
      </c>
    </row>
    <row r="329" spans="3:16">
      <c r="C329" s="779">
        <f>IF(D268="","-",+C328+1)</f>
        <v>2068</v>
      </c>
      <c r="D329" s="727">
        <f t="shared" si="25"/>
        <v>0</v>
      </c>
      <c r="E329" s="780">
        <f t="shared" si="23"/>
        <v>0</v>
      </c>
      <c r="F329" s="780">
        <f t="shared" si="17"/>
        <v>0</v>
      </c>
      <c r="G329" s="727">
        <f t="shared" si="22"/>
        <v>0</v>
      </c>
      <c r="H329" s="785">
        <f>+J269*G329+E329</f>
        <v>0</v>
      </c>
      <c r="I329" s="786">
        <f>+J270*G329+E329</f>
        <v>0</v>
      </c>
      <c r="J329" s="783">
        <f t="shared" si="24"/>
        <v>0</v>
      </c>
      <c r="K329" s="783"/>
      <c r="L329" s="1304"/>
      <c r="M329" s="783">
        <f t="shared" si="18"/>
        <v>0</v>
      </c>
      <c r="N329" s="1304"/>
      <c r="O329" s="783">
        <f t="shared" si="19"/>
        <v>0</v>
      </c>
      <c r="P329" s="783">
        <f t="shared" si="20"/>
        <v>0</v>
      </c>
    </row>
    <row r="330" spans="3:16">
      <c r="C330" s="779">
        <f>IF(D268="","-",+C329+1)</f>
        <v>2069</v>
      </c>
      <c r="D330" s="727">
        <f t="shared" si="25"/>
        <v>0</v>
      </c>
      <c r="E330" s="780">
        <f t="shared" si="23"/>
        <v>0</v>
      </c>
      <c r="F330" s="780">
        <f t="shared" si="17"/>
        <v>0</v>
      </c>
      <c r="G330" s="727">
        <f t="shared" si="22"/>
        <v>0</v>
      </c>
      <c r="H330" s="785">
        <f>+J269*G330+E330</f>
        <v>0</v>
      </c>
      <c r="I330" s="786">
        <f>+J270*G330+E330</f>
        <v>0</v>
      </c>
      <c r="J330" s="783">
        <f t="shared" si="24"/>
        <v>0</v>
      </c>
      <c r="K330" s="783"/>
      <c r="L330" s="1304"/>
      <c r="M330" s="783">
        <f t="shared" si="18"/>
        <v>0</v>
      </c>
      <c r="N330" s="1304"/>
      <c r="O330" s="783">
        <f t="shared" si="19"/>
        <v>0</v>
      </c>
      <c r="P330" s="783">
        <f t="shared" si="20"/>
        <v>0</v>
      </c>
    </row>
    <row r="331" spans="3:16">
      <c r="C331" s="779">
        <f>IF(D268="","-",+C330+1)</f>
        <v>2070</v>
      </c>
      <c r="D331" s="727">
        <f t="shared" si="25"/>
        <v>0</v>
      </c>
      <c r="E331" s="780">
        <f t="shared" si="23"/>
        <v>0</v>
      </c>
      <c r="F331" s="780">
        <f t="shared" si="17"/>
        <v>0</v>
      </c>
      <c r="G331" s="727">
        <f t="shared" si="22"/>
        <v>0</v>
      </c>
      <c r="H331" s="785">
        <f>+J269*G331+E331</f>
        <v>0</v>
      </c>
      <c r="I331" s="786">
        <f>+J270*G331+E331</f>
        <v>0</v>
      </c>
      <c r="J331" s="783">
        <f t="shared" si="24"/>
        <v>0</v>
      </c>
      <c r="K331" s="783"/>
      <c r="L331" s="1304"/>
      <c r="M331" s="783">
        <f t="shared" si="18"/>
        <v>0</v>
      </c>
      <c r="N331" s="1304"/>
      <c r="O331" s="783">
        <f t="shared" si="19"/>
        <v>0</v>
      </c>
      <c r="P331" s="783">
        <f t="shared" si="20"/>
        <v>0</v>
      </c>
    </row>
    <row r="332" spans="3:16">
      <c r="C332" s="779">
        <f>IF(D268="","-",+C331+1)</f>
        <v>2071</v>
      </c>
      <c r="D332" s="727">
        <f t="shared" si="25"/>
        <v>0</v>
      </c>
      <c r="E332" s="780">
        <f t="shared" si="23"/>
        <v>0</v>
      </c>
      <c r="F332" s="780">
        <f t="shared" si="17"/>
        <v>0</v>
      </c>
      <c r="G332" s="727">
        <f t="shared" si="22"/>
        <v>0</v>
      </c>
      <c r="H332" s="785">
        <f>+J269*G332+E332</f>
        <v>0</v>
      </c>
      <c r="I332" s="786">
        <f>+J270*G332+E332</f>
        <v>0</v>
      </c>
      <c r="J332" s="783">
        <f t="shared" si="24"/>
        <v>0</v>
      </c>
      <c r="K332" s="783"/>
      <c r="L332" s="1304"/>
      <c r="M332" s="783">
        <f t="shared" si="18"/>
        <v>0</v>
      </c>
      <c r="N332" s="1304"/>
      <c r="O332" s="783">
        <f t="shared" si="19"/>
        <v>0</v>
      </c>
      <c r="P332" s="783">
        <f t="shared" si="20"/>
        <v>0</v>
      </c>
    </row>
    <row r="333" spans="3:16" ht="13.5" thickBot="1">
      <c r="C333" s="789">
        <f>IF(D268="","-",+C332+1)</f>
        <v>2072</v>
      </c>
      <c r="D333" s="790">
        <f t="shared" si="25"/>
        <v>0</v>
      </c>
      <c r="E333" s="791">
        <f t="shared" si="23"/>
        <v>0</v>
      </c>
      <c r="F333" s="791">
        <f t="shared" si="17"/>
        <v>0</v>
      </c>
      <c r="G333" s="790">
        <f t="shared" si="22"/>
        <v>0</v>
      </c>
      <c r="H333" s="792">
        <f>+J269*G333+E333</f>
        <v>0</v>
      </c>
      <c r="I333" s="792">
        <f>+J270*G333+E333</f>
        <v>0</v>
      </c>
      <c r="J333" s="793">
        <f t="shared" si="24"/>
        <v>0</v>
      </c>
      <c r="K333" s="783"/>
      <c r="L333" s="1305"/>
      <c r="M333" s="793">
        <f t="shared" si="18"/>
        <v>0</v>
      </c>
      <c r="N333" s="1305"/>
      <c r="O333" s="793">
        <f t="shared" si="19"/>
        <v>0</v>
      </c>
      <c r="P333" s="793">
        <f t="shared" si="20"/>
        <v>0</v>
      </c>
    </row>
    <row r="334" spans="3:16">
      <c r="C334" s="727" t="s">
        <v>93</v>
      </c>
      <c r="D334" s="721"/>
      <c r="E334" s="721">
        <f>SUM(E274:E333)</f>
        <v>5805543</v>
      </c>
      <c r="F334" s="721"/>
      <c r="G334" s="721"/>
      <c r="H334" s="721">
        <f>SUM(H274:H333)</f>
        <v>18475416.756405465</v>
      </c>
      <c r="I334" s="721">
        <f>SUM(I274:I333)</f>
        <v>18475416.756405465</v>
      </c>
      <c r="J334" s="721">
        <f>SUM(J274:J333)</f>
        <v>0</v>
      </c>
      <c r="K334" s="721"/>
      <c r="L334" s="721"/>
      <c r="M334" s="721"/>
      <c r="N334" s="721"/>
      <c r="O334" s="721"/>
    </row>
    <row r="335" spans="3:16">
      <c r="D335" s="529"/>
      <c r="E335" s="308"/>
      <c r="F335" s="308"/>
      <c r="G335" s="308"/>
      <c r="H335" s="308"/>
      <c r="I335" s="699"/>
      <c r="J335" s="699"/>
      <c r="K335" s="721"/>
      <c r="L335" s="699"/>
      <c r="M335" s="699"/>
      <c r="N335" s="699"/>
      <c r="O335" s="699"/>
    </row>
    <row r="336" spans="3:16">
      <c r="C336" s="308" t="s">
        <v>15</v>
      </c>
      <c r="D336" s="529"/>
      <c r="E336" s="308"/>
      <c r="F336" s="308"/>
      <c r="G336" s="308"/>
      <c r="H336" s="308"/>
      <c r="I336" s="699"/>
      <c r="J336" s="699"/>
      <c r="K336" s="721"/>
      <c r="L336" s="699"/>
      <c r="M336" s="699"/>
      <c r="N336" s="699"/>
      <c r="O336" s="699"/>
    </row>
    <row r="337" spans="1:17">
      <c r="C337" s="308"/>
      <c r="D337" s="529"/>
      <c r="E337" s="308"/>
      <c r="F337" s="308"/>
      <c r="G337" s="308"/>
      <c r="H337" s="308"/>
      <c r="I337" s="699"/>
      <c r="J337" s="699"/>
      <c r="K337" s="721"/>
      <c r="L337" s="699"/>
      <c r="M337" s="699"/>
      <c r="N337" s="699"/>
      <c r="O337" s="699"/>
    </row>
    <row r="338" spans="1:17">
      <c r="C338" s="740" t="s">
        <v>16</v>
      </c>
      <c r="D338" s="727"/>
      <c r="E338" s="727"/>
      <c r="F338" s="727"/>
      <c r="G338" s="727"/>
      <c r="H338" s="721"/>
      <c r="I338" s="721"/>
      <c r="J338" s="795"/>
      <c r="K338" s="795"/>
      <c r="L338" s="795"/>
      <c r="M338" s="795"/>
      <c r="N338" s="795"/>
      <c r="O338" s="795"/>
    </row>
    <row r="339" spans="1:17">
      <c r="C339" s="726" t="s">
        <v>273</v>
      </c>
      <c r="D339" s="727"/>
      <c r="E339" s="727"/>
      <c r="F339" s="727"/>
      <c r="G339" s="727"/>
      <c r="H339" s="721"/>
      <c r="I339" s="721"/>
      <c r="J339" s="795"/>
      <c r="K339" s="795"/>
      <c r="L339" s="795"/>
      <c r="M339" s="795"/>
      <c r="N339" s="795"/>
      <c r="O339" s="795"/>
    </row>
    <row r="340" spans="1:17">
      <c r="C340" s="726" t="s">
        <v>94</v>
      </c>
      <c r="D340" s="727"/>
      <c r="E340" s="727"/>
      <c r="F340" s="727"/>
      <c r="G340" s="727"/>
      <c r="H340" s="721"/>
      <c r="I340" s="721"/>
      <c r="J340" s="795"/>
      <c r="K340" s="795"/>
      <c r="L340" s="795"/>
      <c r="M340" s="795"/>
      <c r="N340" s="795"/>
      <c r="O340" s="795"/>
    </row>
    <row r="341" spans="1:17">
      <c r="C341" s="726"/>
      <c r="D341" s="727"/>
      <c r="E341" s="727"/>
      <c r="F341" s="727"/>
      <c r="G341" s="727"/>
      <c r="H341" s="721"/>
      <c r="I341" s="721"/>
      <c r="J341" s="795"/>
      <c r="K341" s="795"/>
      <c r="L341" s="795"/>
      <c r="M341" s="795"/>
      <c r="N341" s="795"/>
      <c r="O341" s="795"/>
    </row>
    <row r="342" spans="1:17" ht="20.25">
      <c r="A342" s="728" t="str">
        <f>""&amp;A265&amp;" Worksheet K -  ATRR TRUE-UP Calculation for PJM Projects Charged to Benefiting Zones"</f>
        <v xml:space="preserve"> Worksheet K -  ATRR TRUE-UP Calculation for PJM Projects Charged to Benefiting Zones</v>
      </c>
      <c r="B342" s="341"/>
      <c r="C342" s="716"/>
      <c r="D342" s="529"/>
      <c r="E342" s="308"/>
      <c r="F342" s="698"/>
      <c r="G342" s="698"/>
      <c r="H342" s="308"/>
      <c r="I342" s="699"/>
      <c r="L342" s="555"/>
      <c r="M342" s="555"/>
      <c r="N342" s="555"/>
      <c r="O342" s="644" t="str">
        <f>"Page "&amp;SUM(Q$8:Q342)&amp;" of "</f>
        <v xml:space="preserve">Page 4 of </v>
      </c>
      <c r="P342" s="645">
        <f>COUNT(Q$8:Q$56657)</f>
        <v>10</v>
      </c>
      <c r="Q342" s="172">
        <v>1</v>
      </c>
    </row>
    <row r="343" spans="1:17">
      <c r="B343" s="341"/>
      <c r="C343" s="308"/>
      <c r="D343" s="529"/>
      <c r="E343" s="308"/>
      <c r="F343" s="308"/>
      <c r="G343" s="308"/>
      <c r="H343" s="308"/>
      <c r="I343" s="699"/>
      <c r="J343" s="308"/>
      <c r="K343" s="418"/>
    </row>
    <row r="344" spans="1:17" ht="18">
      <c r="B344" s="648" t="s">
        <v>474</v>
      </c>
      <c r="C344" s="730" t="s">
        <v>95</v>
      </c>
      <c r="D344" s="529"/>
      <c r="E344" s="308"/>
      <c r="F344" s="308"/>
      <c r="G344" s="308"/>
      <c r="H344" s="308"/>
      <c r="I344" s="699"/>
      <c r="J344" s="699"/>
      <c r="K344" s="721"/>
      <c r="L344" s="699"/>
      <c r="M344" s="699"/>
      <c r="N344" s="699"/>
      <c r="O344" s="699"/>
    </row>
    <row r="345" spans="1:17" ht="18.75">
      <c r="B345" s="648"/>
      <c r="C345" s="647"/>
      <c r="D345" s="529"/>
      <c r="E345" s="308"/>
      <c r="F345" s="308"/>
      <c r="G345" s="308"/>
      <c r="H345" s="308"/>
      <c r="I345" s="699"/>
      <c r="J345" s="699"/>
      <c r="K345" s="721"/>
      <c r="L345" s="699"/>
      <c r="M345" s="699"/>
      <c r="N345" s="699"/>
      <c r="O345" s="699"/>
    </row>
    <row r="346" spans="1:17" ht="18.75">
      <c r="B346" s="648"/>
      <c r="C346" s="647" t="s">
        <v>96</v>
      </c>
      <c r="D346" s="529"/>
      <c r="E346" s="308"/>
      <c r="F346" s="308"/>
      <c r="G346" s="308"/>
      <c r="H346" s="308"/>
      <c r="I346" s="699"/>
      <c r="J346" s="699"/>
      <c r="K346" s="721"/>
      <c r="L346" s="699"/>
      <c r="M346" s="699"/>
      <c r="N346" s="699"/>
      <c r="O346" s="699"/>
    </row>
    <row r="347" spans="1:17" ht="15.75" thickBot="1">
      <c r="C347" s="239"/>
      <c r="D347" s="529"/>
      <c r="E347" s="308"/>
      <c r="F347" s="308"/>
      <c r="G347" s="308"/>
      <c r="H347" s="308"/>
      <c r="I347" s="699"/>
      <c r="J347" s="699"/>
      <c r="K347" s="721"/>
      <c r="L347" s="699"/>
      <c r="M347" s="699"/>
      <c r="N347" s="699"/>
      <c r="O347" s="699"/>
    </row>
    <row r="348" spans="1:17" ht="15.75">
      <c r="C348" s="650" t="s">
        <v>97</v>
      </c>
      <c r="D348" s="529"/>
      <c r="E348" s="308"/>
      <c r="F348" s="308"/>
      <c r="G348" s="308"/>
      <c r="H348" s="797"/>
      <c r="I348" s="308" t="s">
        <v>76</v>
      </c>
      <c r="J348" s="308"/>
      <c r="K348" s="418"/>
      <c r="L348" s="826">
        <f>+J354</f>
        <v>2022</v>
      </c>
      <c r="M348" s="807" t="s">
        <v>54</v>
      </c>
      <c r="N348" s="807" t="s">
        <v>55</v>
      </c>
      <c r="O348" s="808" t="s">
        <v>57</v>
      </c>
    </row>
    <row r="349" spans="1:17" ht="15.75">
      <c r="C349" s="650"/>
      <c r="D349" s="529"/>
      <c r="E349" s="308"/>
      <c r="F349" s="308"/>
      <c r="H349" s="308"/>
      <c r="I349" s="735"/>
      <c r="J349" s="735"/>
      <c r="K349" s="736"/>
      <c r="L349" s="827" t="s">
        <v>245</v>
      </c>
      <c r="M349" s="828">
        <f>VLOOKUP(J354,C361:P420,10)</f>
        <v>7122748.7522307895</v>
      </c>
      <c r="N349" s="828">
        <f>VLOOKUP(J354,C361:P420,12)</f>
        <v>7122748.7522307895</v>
      </c>
      <c r="O349" s="829">
        <f>+N349-M349</f>
        <v>0</v>
      </c>
    </row>
    <row r="350" spans="1:17" ht="12.95" customHeight="1">
      <c r="C350" s="740" t="s">
        <v>98</v>
      </c>
      <c r="D350" s="1553" t="s">
        <v>818</v>
      </c>
      <c r="E350" s="1553"/>
      <c r="F350" s="1553"/>
      <c r="G350" s="1553"/>
      <c r="H350" s="1553"/>
      <c r="I350" s="1553"/>
      <c r="J350" s="699"/>
      <c r="K350" s="721"/>
      <c r="L350" s="827" t="s">
        <v>246</v>
      </c>
      <c r="M350" s="830">
        <f>VLOOKUP(J354,C361:P420,6)</f>
        <v>7158505.5651812796</v>
      </c>
      <c r="N350" s="830">
        <f>VLOOKUP(J354,C361:P420,7)</f>
        <v>7158505.5651812796</v>
      </c>
      <c r="O350" s="831">
        <f>+N350-M350</f>
        <v>0</v>
      </c>
    </row>
    <row r="351" spans="1:17" ht="13.5" thickBot="1">
      <c r="C351" s="744"/>
      <c r="D351" s="1553"/>
      <c r="E351" s="1553"/>
      <c r="F351" s="1553"/>
      <c r="G351" s="1553"/>
      <c r="H351" s="1553"/>
      <c r="I351" s="1553"/>
      <c r="J351" s="699"/>
      <c r="K351" s="721"/>
      <c r="L351" s="763" t="s">
        <v>247</v>
      </c>
      <c r="M351" s="832">
        <f>+M350-M349</f>
        <v>35756.812950490043</v>
      </c>
      <c r="N351" s="832">
        <f>+N350-N349</f>
        <v>35756.812950490043</v>
      </c>
      <c r="O351" s="833">
        <f>+O350-O349</f>
        <v>0</v>
      </c>
    </row>
    <row r="352" spans="1:17" ht="13.5" thickBot="1">
      <c r="C352" s="747"/>
      <c r="D352" s="748"/>
      <c r="E352" s="746"/>
      <c r="F352" s="746"/>
      <c r="G352" s="746"/>
      <c r="H352" s="746"/>
      <c r="I352" s="746"/>
      <c r="J352" s="746"/>
      <c r="K352" s="749"/>
      <c r="L352" s="746"/>
      <c r="M352" s="746"/>
      <c r="N352" s="746"/>
      <c r="O352" s="746"/>
      <c r="P352" s="341"/>
    </row>
    <row r="353" spans="1:16" ht="13.5" thickBot="1">
      <c r="C353" s="750" t="s">
        <v>99</v>
      </c>
      <c r="D353" s="751"/>
      <c r="E353" s="1394"/>
      <c r="F353" s="1394"/>
      <c r="G353" s="1394"/>
      <c r="H353" s="1394"/>
      <c r="I353" s="1394"/>
      <c r="J353" s="1394"/>
      <c r="K353" s="753"/>
      <c r="P353" s="754"/>
    </row>
    <row r="354" spans="1:16" ht="15">
      <c r="A354" s="1331"/>
      <c r="C354" s="755" t="s">
        <v>77</v>
      </c>
      <c r="D354" s="799">
        <v>60573765.780000001</v>
      </c>
      <c r="E354" s="716" t="s">
        <v>78</v>
      </c>
      <c r="H354" s="756"/>
      <c r="I354" s="756"/>
      <c r="J354" s="757">
        <f>$J$93</f>
        <v>2022</v>
      </c>
      <c r="K354" s="545"/>
      <c r="L354" s="1554" t="s">
        <v>79</v>
      </c>
      <c r="M354" s="1554"/>
      <c r="N354" s="1554"/>
      <c r="O354" s="1554"/>
      <c r="P354" s="418"/>
    </row>
    <row r="355" spans="1:16">
      <c r="C355" s="755" t="s">
        <v>80</v>
      </c>
      <c r="D355" s="1301">
        <v>2014</v>
      </c>
      <c r="E355" s="755" t="s">
        <v>81</v>
      </c>
      <c r="F355" s="756"/>
      <c r="G355" s="756"/>
      <c r="I355" s="172"/>
      <c r="J355" s="801">
        <f>IF(H348="",0,$F$17)</f>
        <v>0</v>
      </c>
      <c r="K355" s="758"/>
      <c r="L355" s="721" t="s">
        <v>287</v>
      </c>
      <c r="P355" s="418"/>
    </row>
    <row r="356" spans="1:16">
      <c r="C356" s="755" t="s">
        <v>82</v>
      </c>
      <c r="D356" s="799">
        <v>10</v>
      </c>
      <c r="E356" s="755" t="s">
        <v>83</v>
      </c>
      <c r="F356" s="756"/>
      <c r="G356" s="756"/>
      <c r="I356" s="172"/>
      <c r="J356" s="759">
        <f>$F$70</f>
        <v>0.11486185889303469</v>
      </c>
      <c r="K356" s="760"/>
      <c r="L356" s="308" t="str">
        <f>"          INPUT TRUE-UP ARR (WITH &amp; WITHOUT INCENTIVES) FROM EACH PRIOR YEAR"</f>
        <v xml:space="preserve">          INPUT TRUE-UP ARR (WITH &amp; WITHOUT INCENTIVES) FROM EACH PRIOR YEAR</v>
      </c>
      <c r="P356" s="418"/>
    </row>
    <row r="357" spans="1:16">
      <c r="C357" s="755" t="s">
        <v>84</v>
      </c>
      <c r="D357" s="761">
        <f>H$79</f>
        <v>36</v>
      </c>
      <c r="E357" s="755" t="s">
        <v>85</v>
      </c>
      <c r="F357" s="756"/>
      <c r="G357" s="756"/>
      <c r="I357" s="172"/>
      <c r="J357" s="759">
        <f>IF(H348="",+J356,$F$69)</f>
        <v>0.11486185889303469</v>
      </c>
      <c r="K357" s="762"/>
      <c r="L357" s="308" t="s">
        <v>167</v>
      </c>
      <c r="M357" s="762"/>
      <c r="N357" s="762"/>
      <c r="O357" s="762"/>
      <c r="P357" s="418"/>
    </row>
    <row r="358" spans="1:16" ht="13.5" thickBot="1">
      <c r="C358" s="755" t="s">
        <v>86</v>
      </c>
      <c r="D358" s="1322" t="s">
        <v>814</v>
      </c>
      <c r="E358" s="763" t="s">
        <v>87</v>
      </c>
      <c r="F358" s="764"/>
      <c r="G358" s="764"/>
      <c r="H358" s="765"/>
      <c r="I358" s="765"/>
      <c r="J358" s="743">
        <f>IF(D354=0,0,D354/D357)</f>
        <v>1682604.605</v>
      </c>
      <c r="K358" s="721"/>
      <c r="L358" s="721" t="s">
        <v>168</v>
      </c>
      <c r="M358" s="721"/>
      <c r="N358" s="721"/>
      <c r="O358" s="721"/>
      <c r="P358" s="418"/>
    </row>
    <row r="359" spans="1:16" ht="38.25">
      <c r="B359" s="836"/>
      <c r="C359" s="766" t="s">
        <v>77</v>
      </c>
      <c r="D359" s="767" t="s">
        <v>88</v>
      </c>
      <c r="E359" s="768" t="s">
        <v>89</v>
      </c>
      <c r="F359" s="767" t="s">
        <v>90</v>
      </c>
      <c r="G359" s="767" t="s">
        <v>248</v>
      </c>
      <c r="H359" s="768" t="s">
        <v>161</v>
      </c>
      <c r="I359" s="769" t="s">
        <v>161</v>
      </c>
      <c r="J359" s="766" t="s">
        <v>100</v>
      </c>
      <c r="K359" s="770"/>
      <c r="L359" s="768" t="s">
        <v>163</v>
      </c>
      <c r="M359" s="768" t="s">
        <v>169</v>
      </c>
      <c r="N359" s="768" t="s">
        <v>163</v>
      </c>
      <c r="O359" s="768" t="s">
        <v>171</v>
      </c>
      <c r="P359" s="768" t="s">
        <v>91</v>
      </c>
    </row>
    <row r="360" spans="1:16" ht="13.5" thickBot="1">
      <c r="C360" s="772" t="s">
        <v>477</v>
      </c>
      <c r="D360" s="773" t="s">
        <v>478</v>
      </c>
      <c r="E360" s="772" t="s">
        <v>371</v>
      </c>
      <c r="F360" s="773" t="s">
        <v>478</v>
      </c>
      <c r="G360" s="773" t="s">
        <v>478</v>
      </c>
      <c r="H360" s="774" t="s">
        <v>103</v>
      </c>
      <c r="I360" s="775" t="s">
        <v>105</v>
      </c>
      <c r="J360" s="776" t="s">
        <v>17</v>
      </c>
      <c r="K360" s="777"/>
      <c r="L360" s="774" t="s">
        <v>92</v>
      </c>
      <c r="M360" s="774" t="s">
        <v>92</v>
      </c>
      <c r="N360" s="774" t="s">
        <v>265</v>
      </c>
      <c r="O360" s="774" t="s">
        <v>265</v>
      </c>
      <c r="P360" s="774" t="s">
        <v>265</v>
      </c>
    </row>
    <row r="361" spans="1:16">
      <c r="C361" s="779">
        <f>IF(D355= "","-",D355)</f>
        <v>2014</v>
      </c>
      <c r="D361" s="727">
        <f>+D354</f>
        <v>60573765.780000001</v>
      </c>
      <c r="E361" s="785">
        <f>+J358/12*(12-D356)</f>
        <v>280434.10083333333</v>
      </c>
      <c r="F361" s="834">
        <f t="shared" ref="F361:F420" si="26">+D361-E361</f>
        <v>60293331.679166667</v>
      </c>
      <c r="G361" s="727">
        <f>+(D361+F361)/2</f>
        <v>60433548.729583338</v>
      </c>
      <c r="H361" s="781">
        <f>+J356*G361+E361</f>
        <v>7221943.8474160703</v>
      </c>
      <c r="I361" s="782">
        <f>+J357*G361+E361</f>
        <v>7221943.8474160703</v>
      </c>
      <c r="J361" s="783">
        <f>+I361-H361</f>
        <v>0</v>
      </c>
      <c r="K361" s="783"/>
      <c r="L361" s="1303">
        <v>0</v>
      </c>
      <c r="M361" s="835">
        <f t="shared" ref="M361:M420" si="27">IF(L361&lt;&gt;0,+H361-L361,0)</f>
        <v>0</v>
      </c>
      <c r="N361" s="1303">
        <v>0</v>
      </c>
      <c r="O361" s="835">
        <f t="shared" ref="O361:O420" si="28">IF(N361&lt;&gt;0,+I361-N361,0)</f>
        <v>0</v>
      </c>
      <c r="P361" s="835">
        <f t="shared" ref="P361:P420" si="29">+O361-M361</f>
        <v>0</v>
      </c>
    </row>
    <row r="362" spans="1:16">
      <c r="C362" s="779">
        <f>IF(D355="","-",+C361+1)</f>
        <v>2015</v>
      </c>
      <c r="D362" s="727">
        <f t="shared" ref="D362:D414" si="30">F361</f>
        <v>60293331.679166667</v>
      </c>
      <c r="E362" s="780">
        <f>IF(D362&gt;$J$358,$J$358,D362)</f>
        <v>1682604.605</v>
      </c>
      <c r="F362" s="780">
        <f t="shared" si="26"/>
        <v>58610727.07416667</v>
      </c>
      <c r="G362" s="727">
        <f t="shared" ref="G362:G420" si="31">+(D362+F362)/2</f>
        <v>59452029.376666665</v>
      </c>
      <c r="H362" s="785">
        <f>+J356*G362+E362</f>
        <v>8511375.2141672391</v>
      </c>
      <c r="I362" s="786">
        <f>+J357*G362+E362</f>
        <v>8511375.2141672391</v>
      </c>
      <c r="J362" s="783">
        <f>+I362-H362</f>
        <v>0</v>
      </c>
      <c r="K362" s="783"/>
      <c r="L362" s="1304">
        <v>1745562</v>
      </c>
      <c r="M362" s="783">
        <f t="shared" si="27"/>
        <v>6765813.2141672391</v>
      </c>
      <c r="N362" s="1304">
        <v>1745562</v>
      </c>
      <c r="O362" s="783">
        <f t="shared" si="28"/>
        <v>6765813.2141672391</v>
      </c>
      <c r="P362" s="783">
        <f t="shared" si="29"/>
        <v>0</v>
      </c>
    </row>
    <row r="363" spans="1:16">
      <c r="C363" s="779">
        <f>IF(D355="","-",+C362+1)</f>
        <v>2016</v>
      </c>
      <c r="D363" s="727">
        <f t="shared" si="30"/>
        <v>58610727.07416667</v>
      </c>
      <c r="E363" s="780">
        <f t="shared" ref="E363:E420" si="32">IF(D363&gt;$J$358,$J$358,D363)</f>
        <v>1682604.605</v>
      </c>
      <c r="F363" s="780">
        <f t="shared" si="26"/>
        <v>56928122.469166674</v>
      </c>
      <c r="G363" s="727">
        <f t="shared" si="31"/>
        <v>57769424.771666676</v>
      </c>
      <c r="H363" s="785">
        <f>+J356*G363+E363</f>
        <v>8318108.1214549597</v>
      </c>
      <c r="I363" s="786">
        <f>+J357*G363+E363</f>
        <v>8318108.1214549597</v>
      </c>
      <c r="J363" s="783">
        <f t="shared" ref="J363:J420" si="33">+I363-H363</f>
        <v>0</v>
      </c>
      <c r="K363" s="783"/>
      <c r="L363" s="1304">
        <v>1596924</v>
      </c>
      <c r="M363" s="783">
        <f t="shared" si="27"/>
        <v>6721184.1214549597</v>
      </c>
      <c r="N363" s="1304">
        <v>1596924</v>
      </c>
      <c r="O363" s="783">
        <f t="shared" si="28"/>
        <v>6721184.1214549597</v>
      </c>
      <c r="P363" s="783">
        <f t="shared" si="29"/>
        <v>0</v>
      </c>
    </row>
    <row r="364" spans="1:16">
      <c r="C364" s="779">
        <f>IF(D355="","-",+C363+1)</f>
        <v>2017</v>
      </c>
      <c r="D364" s="727">
        <f t="shared" si="30"/>
        <v>56928122.469166674</v>
      </c>
      <c r="E364" s="780">
        <f t="shared" si="32"/>
        <v>1682604.605</v>
      </c>
      <c r="F364" s="780">
        <f t="shared" si="26"/>
        <v>55245517.864166677</v>
      </c>
      <c r="G364" s="727">
        <f t="shared" si="31"/>
        <v>56086820.166666672</v>
      </c>
      <c r="H364" s="785">
        <f>+J356*G364+E364</f>
        <v>8124841.0287426785</v>
      </c>
      <c r="I364" s="786">
        <f>+J357*G364+E364</f>
        <v>8124841.0287426785</v>
      </c>
      <c r="J364" s="783">
        <f t="shared" si="33"/>
        <v>0</v>
      </c>
      <c r="K364" s="783"/>
      <c r="L364" s="1304">
        <v>8620533</v>
      </c>
      <c r="M364" s="783">
        <f t="shared" si="27"/>
        <v>-495691.97125732154</v>
      </c>
      <c r="N364" s="1304">
        <v>8620533</v>
      </c>
      <c r="O364" s="783">
        <f t="shared" si="28"/>
        <v>-495691.97125732154</v>
      </c>
      <c r="P364" s="783">
        <f t="shared" si="29"/>
        <v>0</v>
      </c>
    </row>
    <row r="365" spans="1:16">
      <c r="C365" s="779">
        <f>IF(D355="","-",+C364+1)</f>
        <v>2018</v>
      </c>
      <c r="D365" s="1393">
        <f t="shared" si="30"/>
        <v>55245517.864166677</v>
      </c>
      <c r="E365" s="780">
        <f t="shared" si="32"/>
        <v>1682604.605</v>
      </c>
      <c r="F365" s="780">
        <f t="shared" si="26"/>
        <v>53562913.25916668</v>
      </c>
      <c r="G365" s="727">
        <f t="shared" si="31"/>
        <v>54404215.561666682</v>
      </c>
      <c r="H365" s="785">
        <f>+J356*G365+E365</f>
        <v>7931573.9360304009</v>
      </c>
      <c r="I365" s="786">
        <f>+J357*G365+E365</f>
        <v>7931573.9360304009</v>
      </c>
      <c r="J365" s="783">
        <f t="shared" si="33"/>
        <v>0</v>
      </c>
      <c r="K365" s="783"/>
      <c r="L365" s="1304">
        <v>6863859</v>
      </c>
      <c r="M365" s="783">
        <f t="shared" si="27"/>
        <v>1067714.9360304009</v>
      </c>
      <c r="N365" s="1304">
        <v>6863859</v>
      </c>
      <c r="O365" s="783">
        <f t="shared" si="28"/>
        <v>1067714.9360304009</v>
      </c>
      <c r="P365" s="783">
        <f t="shared" si="29"/>
        <v>0</v>
      </c>
    </row>
    <row r="366" spans="1:16">
      <c r="C366" s="779">
        <f>IF(D355="","-",+C365+1)</f>
        <v>2019</v>
      </c>
      <c r="D366" s="1323">
        <f t="shared" si="30"/>
        <v>53562913.25916668</v>
      </c>
      <c r="E366" s="780">
        <f t="shared" si="32"/>
        <v>1682604.605</v>
      </c>
      <c r="F366" s="780">
        <f t="shared" si="26"/>
        <v>51880308.654166684</v>
      </c>
      <c r="G366" s="727">
        <f t="shared" si="31"/>
        <v>52721610.956666678</v>
      </c>
      <c r="H366" s="785">
        <f>+J356*G366+E366</f>
        <v>7738306.8433181196</v>
      </c>
      <c r="I366" s="786">
        <f>+J357*G366+E366</f>
        <v>7738306.8433181196</v>
      </c>
      <c r="J366" s="783">
        <f t="shared" si="33"/>
        <v>0</v>
      </c>
      <c r="K366" s="783"/>
      <c r="L366" s="1304">
        <v>7470796</v>
      </c>
      <c r="M366" s="783">
        <f t="shared" si="27"/>
        <v>267510.84331811965</v>
      </c>
      <c r="N366" s="1304">
        <v>7470796</v>
      </c>
      <c r="O366" s="783">
        <f t="shared" si="28"/>
        <v>267510.84331811965</v>
      </c>
      <c r="P366" s="783">
        <f t="shared" si="29"/>
        <v>0</v>
      </c>
    </row>
    <row r="367" spans="1:16">
      <c r="C367" s="779">
        <f>IF(D355="","-",+C366+1)</f>
        <v>2020</v>
      </c>
      <c r="D367" s="1323">
        <f t="shared" si="30"/>
        <v>51880308.654166684</v>
      </c>
      <c r="E367" s="780">
        <f t="shared" si="32"/>
        <v>1682604.605</v>
      </c>
      <c r="F367" s="780">
        <f t="shared" si="26"/>
        <v>50197704.049166687</v>
      </c>
      <c r="G367" s="727">
        <f t="shared" si="31"/>
        <v>51039006.351666689</v>
      </c>
      <c r="H367" s="785">
        <f>+J356*G367+E367</f>
        <v>7545039.7506058402</v>
      </c>
      <c r="I367" s="786">
        <f>+J357*G367+E367</f>
        <v>7545039.7506058402</v>
      </c>
      <c r="J367" s="783">
        <f t="shared" si="33"/>
        <v>0</v>
      </c>
      <c r="K367" s="783"/>
      <c r="L367" s="1304">
        <v>7563743.814107067</v>
      </c>
      <c r="M367" s="783">
        <f t="shared" si="27"/>
        <v>-18704.063501226716</v>
      </c>
      <c r="N367" s="1304">
        <v>7563743.814107067</v>
      </c>
      <c r="O367" s="783">
        <f t="shared" si="28"/>
        <v>-18704.063501226716</v>
      </c>
      <c r="P367" s="783">
        <f t="shared" si="29"/>
        <v>0</v>
      </c>
    </row>
    <row r="368" spans="1:16">
      <c r="C368" s="779">
        <f>IF(D355="","-",+C367+1)</f>
        <v>2021</v>
      </c>
      <c r="D368" s="727">
        <f t="shared" si="30"/>
        <v>50197704.049166687</v>
      </c>
      <c r="E368" s="780">
        <f t="shared" si="32"/>
        <v>1682604.605</v>
      </c>
      <c r="F368" s="780">
        <f t="shared" si="26"/>
        <v>48515099.44416669</v>
      </c>
      <c r="G368" s="727">
        <f t="shared" si="31"/>
        <v>49356401.746666685</v>
      </c>
      <c r="H368" s="785">
        <f>+J356*G368+E368</f>
        <v>7351772.657893559</v>
      </c>
      <c r="I368" s="786">
        <f>+J357*G368+E368</f>
        <v>7351772.657893559</v>
      </c>
      <c r="J368" s="783">
        <f t="shared" si="33"/>
        <v>0</v>
      </c>
      <c r="K368" s="783"/>
      <c r="L368" s="1304">
        <v>7012207.6163820876</v>
      </c>
      <c r="M368" s="783">
        <f t="shared" si="27"/>
        <v>339565.04151147138</v>
      </c>
      <c r="N368" s="1304">
        <v>7012207.6163820876</v>
      </c>
      <c r="O368" s="783">
        <f t="shared" si="28"/>
        <v>339565.04151147138</v>
      </c>
      <c r="P368" s="783">
        <f t="shared" si="29"/>
        <v>0</v>
      </c>
    </row>
    <row r="369" spans="3:16">
      <c r="C369" s="779">
        <f>IF(D355="","-",+C368+1)</f>
        <v>2022</v>
      </c>
      <c r="D369" s="727">
        <f t="shared" si="30"/>
        <v>48515099.44416669</v>
      </c>
      <c r="E369" s="780">
        <f t="shared" si="32"/>
        <v>1682604.605</v>
      </c>
      <c r="F369" s="780">
        <f t="shared" si="26"/>
        <v>46832494.839166693</v>
      </c>
      <c r="G369" s="727">
        <f t="shared" si="31"/>
        <v>47673797.141666695</v>
      </c>
      <c r="H369" s="785">
        <f>+J356*G369+E369</f>
        <v>7158505.5651812796</v>
      </c>
      <c r="I369" s="786">
        <f>+J357*G369+E369</f>
        <v>7158505.5651812796</v>
      </c>
      <c r="J369" s="783">
        <f t="shared" si="33"/>
        <v>0</v>
      </c>
      <c r="K369" s="783"/>
      <c r="L369" s="1304">
        <v>7122748.7522307895</v>
      </c>
      <c r="M369" s="783">
        <f t="shared" si="27"/>
        <v>35756.812950490043</v>
      </c>
      <c r="N369" s="1304">
        <v>7122748.7522307895</v>
      </c>
      <c r="O369" s="783">
        <f t="shared" si="28"/>
        <v>35756.812950490043</v>
      </c>
      <c r="P369" s="783">
        <f t="shared" si="29"/>
        <v>0</v>
      </c>
    </row>
    <row r="370" spans="3:16">
      <c r="C370" s="779">
        <f>IF(D355="","-",+C369+1)</f>
        <v>2023</v>
      </c>
      <c r="D370" s="727">
        <f t="shared" si="30"/>
        <v>46832494.839166693</v>
      </c>
      <c r="E370" s="780">
        <f t="shared" si="32"/>
        <v>1682604.605</v>
      </c>
      <c r="F370" s="780">
        <f t="shared" si="26"/>
        <v>45149890.234166697</v>
      </c>
      <c r="G370" s="727">
        <f t="shared" si="31"/>
        <v>45991192.536666691</v>
      </c>
      <c r="H370" s="785">
        <f>+J356*G370+E370</f>
        <v>6965238.4724690001</v>
      </c>
      <c r="I370" s="786">
        <f>+J357*G370+E370</f>
        <v>6965238.4724690001</v>
      </c>
      <c r="J370" s="783">
        <f t="shared" si="33"/>
        <v>0</v>
      </c>
      <c r="K370" s="783"/>
      <c r="L370" s="1304"/>
      <c r="M370" s="783">
        <f t="shared" si="27"/>
        <v>0</v>
      </c>
      <c r="N370" s="1304"/>
      <c r="O370" s="783">
        <f t="shared" si="28"/>
        <v>0</v>
      </c>
      <c r="P370" s="783">
        <f t="shared" si="29"/>
        <v>0</v>
      </c>
    </row>
    <row r="371" spans="3:16">
      <c r="C371" s="779">
        <f>IF(D355="","-",+C370+1)</f>
        <v>2024</v>
      </c>
      <c r="D371" s="727">
        <f t="shared" si="30"/>
        <v>45149890.234166697</v>
      </c>
      <c r="E371" s="780">
        <f t="shared" si="32"/>
        <v>1682604.605</v>
      </c>
      <c r="F371" s="780">
        <f t="shared" si="26"/>
        <v>43467285.6291667</v>
      </c>
      <c r="G371" s="727">
        <f t="shared" si="31"/>
        <v>44308587.931666702</v>
      </c>
      <c r="H371" s="785">
        <f>+J356*G371+E371</f>
        <v>6771971.3797567207</v>
      </c>
      <c r="I371" s="786">
        <f>+J357*G371+E371</f>
        <v>6771971.3797567207</v>
      </c>
      <c r="J371" s="783">
        <f t="shared" si="33"/>
        <v>0</v>
      </c>
      <c r="K371" s="783"/>
      <c r="L371" s="1304"/>
      <c r="M371" s="783">
        <f t="shared" si="27"/>
        <v>0</v>
      </c>
      <c r="N371" s="1304"/>
      <c r="O371" s="783">
        <f t="shared" si="28"/>
        <v>0</v>
      </c>
      <c r="P371" s="783">
        <f t="shared" si="29"/>
        <v>0</v>
      </c>
    </row>
    <row r="372" spans="3:16">
      <c r="C372" s="779">
        <f>IF(D355="","-",+C371+1)</f>
        <v>2025</v>
      </c>
      <c r="D372" s="727">
        <f t="shared" si="30"/>
        <v>43467285.6291667</v>
      </c>
      <c r="E372" s="780">
        <f t="shared" si="32"/>
        <v>1682604.605</v>
      </c>
      <c r="F372" s="780">
        <f t="shared" si="26"/>
        <v>41784681.024166703</v>
      </c>
      <c r="G372" s="727">
        <f t="shared" si="31"/>
        <v>42625983.326666698</v>
      </c>
      <c r="H372" s="785">
        <f>+J356*G372+E372</f>
        <v>6578704.2870444395</v>
      </c>
      <c r="I372" s="786">
        <f>+J357*G372+E372</f>
        <v>6578704.2870444395</v>
      </c>
      <c r="J372" s="783">
        <f t="shared" si="33"/>
        <v>0</v>
      </c>
      <c r="K372" s="783"/>
      <c r="L372" s="1304"/>
      <c r="M372" s="783">
        <f t="shared" si="27"/>
        <v>0</v>
      </c>
      <c r="N372" s="1304"/>
      <c r="O372" s="783">
        <f t="shared" si="28"/>
        <v>0</v>
      </c>
      <c r="P372" s="783">
        <f t="shared" si="29"/>
        <v>0</v>
      </c>
    </row>
    <row r="373" spans="3:16">
      <c r="C373" s="779">
        <f>IF(D355="","-",+C372+1)</f>
        <v>2026</v>
      </c>
      <c r="D373" s="727">
        <f t="shared" si="30"/>
        <v>41784681.024166703</v>
      </c>
      <c r="E373" s="780">
        <f t="shared" si="32"/>
        <v>1682604.605</v>
      </c>
      <c r="F373" s="780">
        <f t="shared" si="26"/>
        <v>40102076.419166707</v>
      </c>
      <c r="G373" s="727">
        <f t="shared" si="31"/>
        <v>40943378.721666709</v>
      </c>
      <c r="H373" s="785">
        <f>+J356*G373+E373</f>
        <v>6385437.1943321601</v>
      </c>
      <c r="I373" s="786">
        <f>+J357*G373+E373</f>
        <v>6385437.1943321601</v>
      </c>
      <c r="J373" s="783">
        <f t="shared" si="33"/>
        <v>0</v>
      </c>
      <c r="K373" s="783"/>
      <c r="L373" s="1304"/>
      <c r="M373" s="783">
        <f t="shared" si="27"/>
        <v>0</v>
      </c>
      <c r="N373" s="1304"/>
      <c r="O373" s="783">
        <f t="shared" si="28"/>
        <v>0</v>
      </c>
      <c r="P373" s="783">
        <f t="shared" si="29"/>
        <v>0</v>
      </c>
    </row>
    <row r="374" spans="3:16">
      <c r="C374" s="779">
        <f>IF(D355="","-",+C373+1)</f>
        <v>2027</v>
      </c>
      <c r="D374" s="727">
        <f t="shared" si="30"/>
        <v>40102076.419166707</v>
      </c>
      <c r="E374" s="780">
        <f t="shared" si="32"/>
        <v>1682604.605</v>
      </c>
      <c r="F374" s="780">
        <f t="shared" si="26"/>
        <v>38419471.81416671</v>
      </c>
      <c r="G374" s="727">
        <f t="shared" si="31"/>
        <v>39260774.116666704</v>
      </c>
      <c r="H374" s="785">
        <f>+J356*G374+E374</f>
        <v>6192170.1016198788</v>
      </c>
      <c r="I374" s="786">
        <f>+J357*G374+E374</f>
        <v>6192170.1016198788</v>
      </c>
      <c r="J374" s="783">
        <f t="shared" si="33"/>
        <v>0</v>
      </c>
      <c r="K374" s="783"/>
      <c r="L374" s="1304"/>
      <c r="M374" s="783">
        <f t="shared" si="27"/>
        <v>0</v>
      </c>
      <c r="N374" s="1304"/>
      <c r="O374" s="783">
        <f t="shared" si="28"/>
        <v>0</v>
      </c>
      <c r="P374" s="783">
        <f t="shared" si="29"/>
        <v>0</v>
      </c>
    </row>
    <row r="375" spans="3:16">
      <c r="C375" s="779">
        <f>IF(D355="","-",+C374+1)</f>
        <v>2028</v>
      </c>
      <c r="D375" s="727">
        <f t="shared" si="30"/>
        <v>38419471.81416671</v>
      </c>
      <c r="E375" s="780">
        <f t="shared" si="32"/>
        <v>1682604.605</v>
      </c>
      <c r="F375" s="780">
        <f t="shared" si="26"/>
        <v>36736867.209166713</v>
      </c>
      <c r="G375" s="727">
        <f t="shared" si="31"/>
        <v>37578169.511666715</v>
      </c>
      <c r="H375" s="785">
        <f>+J356*G375+E375</f>
        <v>5998903.0089076012</v>
      </c>
      <c r="I375" s="786">
        <f>+J357*G375+E375</f>
        <v>5998903.0089076012</v>
      </c>
      <c r="J375" s="783">
        <f t="shared" si="33"/>
        <v>0</v>
      </c>
      <c r="K375" s="783"/>
      <c r="L375" s="1304"/>
      <c r="M375" s="783">
        <f t="shared" si="27"/>
        <v>0</v>
      </c>
      <c r="N375" s="1304"/>
      <c r="O375" s="783">
        <f t="shared" si="28"/>
        <v>0</v>
      </c>
      <c r="P375" s="783">
        <f t="shared" si="29"/>
        <v>0</v>
      </c>
    </row>
    <row r="376" spans="3:16">
      <c r="C376" s="779">
        <f>IF(D355="","-",+C375+1)</f>
        <v>2029</v>
      </c>
      <c r="D376" s="727">
        <f t="shared" si="30"/>
        <v>36736867.209166713</v>
      </c>
      <c r="E376" s="780">
        <f t="shared" si="32"/>
        <v>1682604.605</v>
      </c>
      <c r="F376" s="780">
        <f t="shared" si="26"/>
        <v>35054262.604166716</v>
      </c>
      <c r="G376" s="727">
        <f t="shared" si="31"/>
        <v>35895564.906666711</v>
      </c>
      <c r="H376" s="785">
        <f>+J356*G376+E376</f>
        <v>5805635.91619532</v>
      </c>
      <c r="I376" s="786">
        <f>+J357*G376+E376</f>
        <v>5805635.91619532</v>
      </c>
      <c r="J376" s="783">
        <f t="shared" si="33"/>
        <v>0</v>
      </c>
      <c r="K376" s="783"/>
      <c r="L376" s="1304"/>
      <c r="M376" s="783">
        <f t="shared" si="27"/>
        <v>0</v>
      </c>
      <c r="N376" s="1304"/>
      <c r="O376" s="783">
        <f t="shared" si="28"/>
        <v>0</v>
      </c>
      <c r="P376" s="783">
        <f t="shared" si="29"/>
        <v>0</v>
      </c>
    </row>
    <row r="377" spans="3:16">
      <c r="C377" s="779">
        <f>IF(D355="","-",+C376+1)</f>
        <v>2030</v>
      </c>
      <c r="D377" s="727">
        <f t="shared" si="30"/>
        <v>35054262.604166716</v>
      </c>
      <c r="E377" s="780">
        <f t="shared" si="32"/>
        <v>1682604.605</v>
      </c>
      <c r="F377" s="780">
        <f t="shared" si="26"/>
        <v>33371657.999166716</v>
      </c>
      <c r="G377" s="727">
        <f t="shared" si="31"/>
        <v>34212960.301666714</v>
      </c>
      <c r="H377" s="785">
        <f>+J356*G377+E377</f>
        <v>5612368.8234830396</v>
      </c>
      <c r="I377" s="786">
        <f>+J357*G377+E377</f>
        <v>5612368.8234830396</v>
      </c>
      <c r="J377" s="783">
        <f t="shared" si="33"/>
        <v>0</v>
      </c>
      <c r="K377" s="783"/>
      <c r="L377" s="1304"/>
      <c r="M377" s="783">
        <f t="shared" si="27"/>
        <v>0</v>
      </c>
      <c r="N377" s="1304"/>
      <c r="O377" s="783">
        <f t="shared" si="28"/>
        <v>0</v>
      </c>
      <c r="P377" s="783">
        <f t="shared" si="29"/>
        <v>0</v>
      </c>
    </row>
    <row r="378" spans="3:16">
      <c r="C378" s="779">
        <f>IF(D355="","-",+C377+1)</f>
        <v>2031</v>
      </c>
      <c r="D378" s="727">
        <f t="shared" si="30"/>
        <v>33371657.999166716</v>
      </c>
      <c r="E378" s="780">
        <f t="shared" si="32"/>
        <v>1682604.605</v>
      </c>
      <c r="F378" s="780">
        <f t="shared" si="26"/>
        <v>31689053.394166715</v>
      </c>
      <c r="G378" s="727">
        <f t="shared" si="31"/>
        <v>32530355.696666718</v>
      </c>
      <c r="H378" s="785">
        <f>+J356*G378+E378</f>
        <v>5419101.7307707593</v>
      </c>
      <c r="I378" s="786">
        <f>+J357*G378+E378</f>
        <v>5419101.7307707593</v>
      </c>
      <c r="J378" s="783">
        <f t="shared" si="33"/>
        <v>0</v>
      </c>
      <c r="K378" s="783"/>
      <c r="L378" s="1304"/>
      <c r="M378" s="783">
        <f t="shared" si="27"/>
        <v>0</v>
      </c>
      <c r="N378" s="1304"/>
      <c r="O378" s="783">
        <f t="shared" si="28"/>
        <v>0</v>
      </c>
      <c r="P378" s="783">
        <f t="shared" si="29"/>
        <v>0</v>
      </c>
    </row>
    <row r="379" spans="3:16">
      <c r="C379" s="779">
        <f>IF(D355="","-",+C378+1)</f>
        <v>2032</v>
      </c>
      <c r="D379" s="727">
        <f t="shared" si="30"/>
        <v>31689053.394166715</v>
      </c>
      <c r="E379" s="780">
        <f t="shared" si="32"/>
        <v>1682604.605</v>
      </c>
      <c r="F379" s="780">
        <f t="shared" si="26"/>
        <v>30006448.789166715</v>
      </c>
      <c r="G379" s="727">
        <f t="shared" si="31"/>
        <v>30847751.091666713</v>
      </c>
      <c r="H379" s="785">
        <f>+J356*G379+E379</f>
        <v>5225834.638058478</v>
      </c>
      <c r="I379" s="786">
        <f>+J357*G379+E379</f>
        <v>5225834.638058478</v>
      </c>
      <c r="J379" s="783">
        <f t="shared" si="33"/>
        <v>0</v>
      </c>
      <c r="K379" s="783"/>
      <c r="L379" s="1304"/>
      <c r="M379" s="783">
        <f t="shared" si="27"/>
        <v>0</v>
      </c>
      <c r="N379" s="1304"/>
      <c r="O379" s="783">
        <f t="shared" si="28"/>
        <v>0</v>
      </c>
      <c r="P379" s="783">
        <f t="shared" si="29"/>
        <v>0</v>
      </c>
    </row>
    <row r="380" spans="3:16">
      <c r="C380" s="779">
        <f>IF(D355="","-",+C379+1)</f>
        <v>2033</v>
      </c>
      <c r="D380" s="727">
        <f t="shared" si="30"/>
        <v>30006448.789166715</v>
      </c>
      <c r="E380" s="780">
        <f t="shared" si="32"/>
        <v>1682604.605</v>
      </c>
      <c r="F380" s="780">
        <f t="shared" si="26"/>
        <v>28323844.184166715</v>
      </c>
      <c r="G380" s="727">
        <f t="shared" si="31"/>
        <v>29165146.486666717</v>
      </c>
      <c r="H380" s="785">
        <f>+J356*G380+E380</f>
        <v>5032567.5453461986</v>
      </c>
      <c r="I380" s="786">
        <f>+J357*G380+E380</f>
        <v>5032567.5453461986</v>
      </c>
      <c r="J380" s="783">
        <f t="shared" si="33"/>
        <v>0</v>
      </c>
      <c r="K380" s="783"/>
      <c r="L380" s="1304"/>
      <c r="M380" s="783">
        <f t="shared" si="27"/>
        <v>0</v>
      </c>
      <c r="N380" s="1304"/>
      <c r="O380" s="783">
        <f t="shared" si="28"/>
        <v>0</v>
      </c>
      <c r="P380" s="783">
        <f t="shared" si="29"/>
        <v>0</v>
      </c>
    </row>
    <row r="381" spans="3:16">
      <c r="C381" s="779">
        <f>IF(D355="","-",+C380+1)</f>
        <v>2034</v>
      </c>
      <c r="D381" s="727">
        <f t="shared" si="30"/>
        <v>28323844.184166715</v>
      </c>
      <c r="E381" s="780">
        <f t="shared" si="32"/>
        <v>1682604.605</v>
      </c>
      <c r="F381" s="780">
        <f t="shared" si="26"/>
        <v>26641239.579166714</v>
      </c>
      <c r="G381" s="727">
        <f t="shared" si="31"/>
        <v>27482541.881666712</v>
      </c>
      <c r="H381" s="785">
        <f>+J356*G381+E381</f>
        <v>4839300.4526339173</v>
      </c>
      <c r="I381" s="786">
        <f>+J357*G381+E381</f>
        <v>4839300.4526339173</v>
      </c>
      <c r="J381" s="783">
        <f t="shared" si="33"/>
        <v>0</v>
      </c>
      <c r="K381" s="783"/>
      <c r="L381" s="1304"/>
      <c r="M381" s="783">
        <f t="shared" si="27"/>
        <v>0</v>
      </c>
      <c r="N381" s="1304"/>
      <c r="O381" s="783">
        <f t="shared" si="28"/>
        <v>0</v>
      </c>
      <c r="P381" s="783">
        <f t="shared" si="29"/>
        <v>0</v>
      </c>
    </row>
    <row r="382" spans="3:16">
      <c r="C382" s="779">
        <f>IF(D355="","-",+C381+1)</f>
        <v>2035</v>
      </c>
      <c r="D382" s="727">
        <f t="shared" si="30"/>
        <v>26641239.579166714</v>
      </c>
      <c r="E382" s="780">
        <f t="shared" si="32"/>
        <v>1682604.605</v>
      </c>
      <c r="F382" s="780">
        <f t="shared" si="26"/>
        <v>24958634.974166714</v>
      </c>
      <c r="G382" s="727">
        <f t="shared" si="31"/>
        <v>25799937.276666716</v>
      </c>
      <c r="H382" s="785">
        <f>+J356*G382+E382</f>
        <v>4646033.3599216379</v>
      </c>
      <c r="I382" s="786">
        <f>+J357*G382+E382</f>
        <v>4646033.3599216379</v>
      </c>
      <c r="J382" s="783">
        <f t="shared" si="33"/>
        <v>0</v>
      </c>
      <c r="K382" s="783"/>
      <c r="L382" s="1304"/>
      <c r="M382" s="783">
        <f t="shared" si="27"/>
        <v>0</v>
      </c>
      <c r="N382" s="1304"/>
      <c r="O382" s="783">
        <f t="shared" si="28"/>
        <v>0</v>
      </c>
      <c r="P382" s="783">
        <f t="shared" si="29"/>
        <v>0</v>
      </c>
    </row>
    <row r="383" spans="3:16">
      <c r="C383" s="779">
        <f>IF(D355="","-",+C382+1)</f>
        <v>2036</v>
      </c>
      <c r="D383" s="727">
        <f t="shared" si="30"/>
        <v>24958634.974166714</v>
      </c>
      <c r="E383" s="780">
        <f t="shared" si="32"/>
        <v>1682604.605</v>
      </c>
      <c r="F383" s="780">
        <f t="shared" si="26"/>
        <v>23276030.369166713</v>
      </c>
      <c r="G383" s="727">
        <f t="shared" si="31"/>
        <v>24117332.671666712</v>
      </c>
      <c r="H383" s="785">
        <f>+J356*G383+E383</f>
        <v>4452766.2672093567</v>
      </c>
      <c r="I383" s="786">
        <f>+J357*G383+E383</f>
        <v>4452766.2672093567</v>
      </c>
      <c r="J383" s="783">
        <f t="shared" si="33"/>
        <v>0</v>
      </c>
      <c r="K383" s="783"/>
      <c r="L383" s="1304"/>
      <c r="M383" s="783">
        <f t="shared" si="27"/>
        <v>0</v>
      </c>
      <c r="N383" s="1304"/>
      <c r="O383" s="783">
        <f t="shared" si="28"/>
        <v>0</v>
      </c>
      <c r="P383" s="783">
        <f t="shared" si="29"/>
        <v>0</v>
      </c>
    </row>
    <row r="384" spans="3:16">
      <c r="C384" s="779">
        <f>IF(D355="","-",+C383+1)</f>
        <v>2037</v>
      </c>
      <c r="D384" s="727">
        <f t="shared" si="30"/>
        <v>23276030.369166713</v>
      </c>
      <c r="E384" s="780">
        <f t="shared" si="32"/>
        <v>1682604.605</v>
      </c>
      <c r="F384" s="780">
        <f t="shared" si="26"/>
        <v>21593425.764166713</v>
      </c>
      <c r="G384" s="727">
        <f t="shared" si="31"/>
        <v>22434728.066666715</v>
      </c>
      <c r="H384" s="785">
        <f>+J356*G384+E384</f>
        <v>4259499.1744970772</v>
      </c>
      <c r="I384" s="786">
        <f>+J357*G384+E384</f>
        <v>4259499.1744970772</v>
      </c>
      <c r="J384" s="783">
        <f t="shared" si="33"/>
        <v>0</v>
      </c>
      <c r="K384" s="783"/>
      <c r="L384" s="1304"/>
      <c r="M384" s="783">
        <f t="shared" si="27"/>
        <v>0</v>
      </c>
      <c r="N384" s="1304"/>
      <c r="O384" s="783">
        <f t="shared" si="28"/>
        <v>0</v>
      </c>
      <c r="P384" s="783">
        <f t="shared" si="29"/>
        <v>0</v>
      </c>
    </row>
    <row r="385" spans="3:16">
      <c r="C385" s="779">
        <f>IF(D355="","-",+C384+1)</f>
        <v>2038</v>
      </c>
      <c r="D385" s="727">
        <f t="shared" si="30"/>
        <v>21593425.764166713</v>
      </c>
      <c r="E385" s="780">
        <f t="shared" si="32"/>
        <v>1682604.605</v>
      </c>
      <c r="F385" s="780">
        <f t="shared" si="26"/>
        <v>19910821.159166712</v>
      </c>
      <c r="G385" s="727">
        <f t="shared" si="31"/>
        <v>20752123.461666711</v>
      </c>
      <c r="H385" s="785">
        <f>+J356*G385+E385</f>
        <v>4066232.081784796</v>
      </c>
      <c r="I385" s="786">
        <f>+J357*G385+E385</f>
        <v>4066232.081784796</v>
      </c>
      <c r="J385" s="783">
        <f t="shared" si="33"/>
        <v>0</v>
      </c>
      <c r="K385" s="783"/>
      <c r="L385" s="1304"/>
      <c r="M385" s="783">
        <f t="shared" si="27"/>
        <v>0</v>
      </c>
      <c r="N385" s="1304"/>
      <c r="O385" s="783">
        <f t="shared" si="28"/>
        <v>0</v>
      </c>
      <c r="P385" s="783">
        <f t="shared" si="29"/>
        <v>0</v>
      </c>
    </row>
    <row r="386" spans="3:16">
      <c r="C386" s="779">
        <f>IF(D355="","-",+C385+1)</f>
        <v>2039</v>
      </c>
      <c r="D386" s="727">
        <f t="shared" si="30"/>
        <v>19910821.159166712</v>
      </c>
      <c r="E386" s="780">
        <f t="shared" si="32"/>
        <v>1682604.605</v>
      </c>
      <c r="F386" s="780">
        <f t="shared" si="26"/>
        <v>18228216.554166712</v>
      </c>
      <c r="G386" s="727">
        <f t="shared" si="31"/>
        <v>19069518.856666714</v>
      </c>
      <c r="H386" s="785">
        <f>+J356*G386+E386</f>
        <v>3872964.9890725161</v>
      </c>
      <c r="I386" s="786">
        <f>+J357*G386+E386</f>
        <v>3872964.9890725161</v>
      </c>
      <c r="J386" s="783">
        <f t="shared" si="33"/>
        <v>0</v>
      </c>
      <c r="K386" s="783"/>
      <c r="L386" s="1304"/>
      <c r="M386" s="783">
        <f t="shared" si="27"/>
        <v>0</v>
      </c>
      <c r="N386" s="1304"/>
      <c r="O386" s="783">
        <f t="shared" si="28"/>
        <v>0</v>
      </c>
      <c r="P386" s="783">
        <f t="shared" si="29"/>
        <v>0</v>
      </c>
    </row>
    <row r="387" spans="3:16">
      <c r="C387" s="779">
        <f>IF(D355="","-",+C386+1)</f>
        <v>2040</v>
      </c>
      <c r="D387" s="727">
        <f t="shared" si="30"/>
        <v>18228216.554166712</v>
      </c>
      <c r="E387" s="780">
        <f t="shared" si="32"/>
        <v>1682604.605</v>
      </c>
      <c r="F387" s="780">
        <f t="shared" si="26"/>
        <v>16545611.949166711</v>
      </c>
      <c r="G387" s="727">
        <f t="shared" si="31"/>
        <v>17386914.25166671</v>
      </c>
      <c r="H387" s="785">
        <f>+J356*G387+E387</f>
        <v>3679697.8963602353</v>
      </c>
      <c r="I387" s="786">
        <f>+J357*G387+E387</f>
        <v>3679697.8963602353</v>
      </c>
      <c r="J387" s="783">
        <f t="shared" si="33"/>
        <v>0</v>
      </c>
      <c r="K387" s="783"/>
      <c r="L387" s="1304"/>
      <c r="M387" s="783">
        <f t="shared" si="27"/>
        <v>0</v>
      </c>
      <c r="N387" s="1304"/>
      <c r="O387" s="783">
        <f t="shared" si="28"/>
        <v>0</v>
      </c>
      <c r="P387" s="783">
        <f t="shared" si="29"/>
        <v>0</v>
      </c>
    </row>
    <row r="388" spans="3:16">
      <c r="C388" s="779">
        <f>IF(D355="","-",+C387+1)</f>
        <v>2041</v>
      </c>
      <c r="D388" s="727">
        <f t="shared" si="30"/>
        <v>16545611.949166711</v>
      </c>
      <c r="E388" s="780">
        <f t="shared" si="32"/>
        <v>1682604.605</v>
      </c>
      <c r="F388" s="780">
        <f t="shared" si="26"/>
        <v>14863007.344166711</v>
      </c>
      <c r="G388" s="727">
        <f t="shared" si="31"/>
        <v>15704309.646666711</v>
      </c>
      <c r="H388" s="785">
        <f>+J356*G388+E388</f>
        <v>3486430.8036479549</v>
      </c>
      <c r="I388" s="786">
        <f>+J357*G388+E388</f>
        <v>3486430.8036479549</v>
      </c>
      <c r="J388" s="783">
        <f t="shared" si="33"/>
        <v>0</v>
      </c>
      <c r="K388" s="783"/>
      <c r="L388" s="1304"/>
      <c r="M388" s="783">
        <f t="shared" si="27"/>
        <v>0</v>
      </c>
      <c r="N388" s="1304"/>
      <c r="O388" s="783">
        <f t="shared" si="28"/>
        <v>0</v>
      </c>
      <c r="P388" s="783">
        <f t="shared" si="29"/>
        <v>0</v>
      </c>
    </row>
    <row r="389" spans="3:16">
      <c r="C389" s="779">
        <f>IF(D355="","-",+C388+1)</f>
        <v>2042</v>
      </c>
      <c r="D389" s="727">
        <f t="shared" si="30"/>
        <v>14863007.344166711</v>
      </c>
      <c r="E389" s="780">
        <f t="shared" si="32"/>
        <v>1682604.605</v>
      </c>
      <c r="F389" s="780">
        <f t="shared" si="26"/>
        <v>13180402.739166711</v>
      </c>
      <c r="G389" s="727">
        <f t="shared" si="31"/>
        <v>14021705.041666711</v>
      </c>
      <c r="H389" s="785">
        <f>+J356*G389+E389</f>
        <v>3293163.7109356746</v>
      </c>
      <c r="I389" s="786">
        <f>+J357*G389+E389</f>
        <v>3293163.7109356746</v>
      </c>
      <c r="J389" s="783">
        <f t="shared" si="33"/>
        <v>0</v>
      </c>
      <c r="K389" s="783"/>
      <c r="L389" s="1304"/>
      <c r="M389" s="783">
        <f t="shared" si="27"/>
        <v>0</v>
      </c>
      <c r="N389" s="1304"/>
      <c r="O389" s="783">
        <f t="shared" si="28"/>
        <v>0</v>
      </c>
      <c r="P389" s="783">
        <f t="shared" si="29"/>
        <v>0</v>
      </c>
    </row>
    <row r="390" spans="3:16">
      <c r="C390" s="779">
        <f>IF(D355="","-",+C389+1)</f>
        <v>2043</v>
      </c>
      <c r="D390" s="727">
        <f t="shared" si="30"/>
        <v>13180402.739166711</v>
      </c>
      <c r="E390" s="780">
        <f t="shared" si="32"/>
        <v>1682604.605</v>
      </c>
      <c r="F390" s="780">
        <f t="shared" si="26"/>
        <v>11497798.13416671</v>
      </c>
      <c r="G390" s="727">
        <f t="shared" si="31"/>
        <v>12339100.43666671</v>
      </c>
      <c r="H390" s="785">
        <f>+J356*G390+E390</f>
        <v>3099896.6182233943</v>
      </c>
      <c r="I390" s="786">
        <f>+J357*G390+E390</f>
        <v>3099896.6182233943</v>
      </c>
      <c r="J390" s="783">
        <f t="shared" si="33"/>
        <v>0</v>
      </c>
      <c r="K390" s="783"/>
      <c r="L390" s="1304"/>
      <c r="M390" s="783">
        <f t="shared" si="27"/>
        <v>0</v>
      </c>
      <c r="N390" s="1304"/>
      <c r="O390" s="783">
        <f t="shared" si="28"/>
        <v>0</v>
      </c>
      <c r="P390" s="783">
        <f t="shared" si="29"/>
        <v>0</v>
      </c>
    </row>
    <row r="391" spans="3:16">
      <c r="C391" s="779">
        <f>IF(D355="","-",+C390+1)</f>
        <v>2044</v>
      </c>
      <c r="D391" s="727">
        <f t="shared" si="30"/>
        <v>11497798.13416671</v>
      </c>
      <c r="E391" s="780">
        <f t="shared" si="32"/>
        <v>1682604.605</v>
      </c>
      <c r="F391" s="780">
        <f t="shared" si="26"/>
        <v>9815193.5291667096</v>
      </c>
      <c r="G391" s="727">
        <f t="shared" si="31"/>
        <v>10656495.83166671</v>
      </c>
      <c r="H391" s="785">
        <f>+J356*G391+E391</f>
        <v>2906629.5255111139</v>
      </c>
      <c r="I391" s="786">
        <f>+J357*G391+E391</f>
        <v>2906629.5255111139</v>
      </c>
      <c r="J391" s="783">
        <f t="shared" si="33"/>
        <v>0</v>
      </c>
      <c r="K391" s="783"/>
      <c r="L391" s="1304"/>
      <c r="M391" s="783">
        <f t="shared" si="27"/>
        <v>0</v>
      </c>
      <c r="N391" s="1304"/>
      <c r="O391" s="783">
        <f t="shared" si="28"/>
        <v>0</v>
      </c>
      <c r="P391" s="783">
        <f t="shared" si="29"/>
        <v>0</v>
      </c>
    </row>
    <row r="392" spans="3:16">
      <c r="C392" s="779">
        <f>IF(D355="","-",+C391+1)</f>
        <v>2045</v>
      </c>
      <c r="D392" s="727">
        <f t="shared" si="30"/>
        <v>9815193.5291667096</v>
      </c>
      <c r="E392" s="780">
        <f t="shared" si="32"/>
        <v>1682604.605</v>
      </c>
      <c r="F392" s="780">
        <f t="shared" si="26"/>
        <v>8132588.9241667092</v>
      </c>
      <c r="G392" s="727">
        <f t="shared" si="31"/>
        <v>8973891.2266667094</v>
      </c>
      <c r="H392" s="785">
        <f>+J356*G392+E392</f>
        <v>2713362.4327988336</v>
      </c>
      <c r="I392" s="786">
        <f>+J357*G392+E392</f>
        <v>2713362.4327988336</v>
      </c>
      <c r="J392" s="783">
        <f t="shared" si="33"/>
        <v>0</v>
      </c>
      <c r="K392" s="783"/>
      <c r="L392" s="1304"/>
      <c r="M392" s="783">
        <f t="shared" si="27"/>
        <v>0</v>
      </c>
      <c r="N392" s="1304"/>
      <c r="O392" s="783">
        <f t="shared" si="28"/>
        <v>0</v>
      </c>
      <c r="P392" s="783">
        <f t="shared" si="29"/>
        <v>0</v>
      </c>
    </row>
    <row r="393" spans="3:16">
      <c r="C393" s="779">
        <f>IF(D355="","-",+C392+1)</f>
        <v>2046</v>
      </c>
      <c r="D393" s="727">
        <f t="shared" si="30"/>
        <v>8132588.9241667092</v>
      </c>
      <c r="E393" s="780">
        <f t="shared" si="32"/>
        <v>1682604.605</v>
      </c>
      <c r="F393" s="780">
        <f t="shared" si="26"/>
        <v>6449984.3191667087</v>
      </c>
      <c r="G393" s="727">
        <f t="shared" si="31"/>
        <v>7291286.621666709</v>
      </c>
      <c r="H393" s="785">
        <f>+J356*G393+E393</f>
        <v>2520095.3400865532</v>
      </c>
      <c r="I393" s="786">
        <f>+J357*G393+E393</f>
        <v>2520095.3400865532</v>
      </c>
      <c r="J393" s="783">
        <f t="shared" si="33"/>
        <v>0</v>
      </c>
      <c r="K393" s="783"/>
      <c r="L393" s="1304"/>
      <c r="M393" s="783">
        <f t="shared" si="27"/>
        <v>0</v>
      </c>
      <c r="N393" s="1304"/>
      <c r="O393" s="783">
        <f t="shared" si="28"/>
        <v>0</v>
      </c>
      <c r="P393" s="783">
        <f t="shared" si="29"/>
        <v>0</v>
      </c>
    </row>
    <row r="394" spans="3:16">
      <c r="C394" s="779">
        <f>IF(D355="","-",+C393+1)</f>
        <v>2047</v>
      </c>
      <c r="D394" s="727">
        <f t="shared" si="30"/>
        <v>6449984.3191667087</v>
      </c>
      <c r="E394" s="780">
        <f t="shared" si="32"/>
        <v>1682604.605</v>
      </c>
      <c r="F394" s="780">
        <f t="shared" si="26"/>
        <v>4767379.7141667083</v>
      </c>
      <c r="G394" s="727">
        <f t="shared" si="31"/>
        <v>5608682.0166667085</v>
      </c>
      <c r="H394" s="785">
        <f>+J356*G394+E394</f>
        <v>2326828.2473742729</v>
      </c>
      <c r="I394" s="786">
        <f>+J357*G394+E394</f>
        <v>2326828.2473742729</v>
      </c>
      <c r="J394" s="783">
        <f t="shared" si="33"/>
        <v>0</v>
      </c>
      <c r="K394" s="783"/>
      <c r="L394" s="1304"/>
      <c r="M394" s="783">
        <f t="shared" si="27"/>
        <v>0</v>
      </c>
      <c r="N394" s="1304"/>
      <c r="O394" s="783">
        <f t="shared" si="28"/>
        <v>0</v>
      </c>
      <c r="P394" s="783">
        <f t="shared" si="29"/>
        <v>0</v>
      </c>
    </row>
    <row r="395" spans="3:16">
      <c r="C395" s="779">
        <f>IF(D355="","-",+C394+1)</f>
        <v>2048</v>
      </c>
      <c r="D395" s="727">
        <f t="shared" si="30"/>
        <v>4767379.7141667083</v>
      </c>
      <c r="E395" s="780">
        <f t="shared" si="32"/>
        <v>1682604.605</v>
      </c>
      <c r="F395" s="780">
        <f t="shared" si="26"/>
        <v>3084775.1091667083</v>
      </c>
      <c r="G395" s="727">
        <f t="shared" si="31"/>
        <v>3926077.4116667081</v>
      </c>
      <c r="H395" s="785">
        <f>+J356*G395+E395</f>
        <v>2133561.1546619921</v>
      </c>
      <c r="I395" s="786">
        <f>+J357*G395+E395</f>
        <v>2133561.1546619921</v>
      </c>
      <c r="J395" s="783">
        <f t="shared" si="33"/>
        <v>0</v>
      </c>
      <c r="K395" s="783"/>
      <c r="L395" s="1304"/>
      <c r="M395" s="783">
        <f t="shared" si="27"/>
        <v>0</v>
      </c>
      <c r="N395" s="1304"/>
      <c r="O395" s="783">
        <f t="shared" si="28"/>
        <v>0</v>
      </c>
      <c r="P395" s="783">
        <f t="shared" si="29"/>
        <v>0</v>
      </c>
    </row>
    <row r="396" spans="3:16">
      <c r="C396" s="779">
        <f>IF(D355="","-",+C395+1)</f>
        <v>2049</v>
      </c>
      <c r="D396" s="727">
        <f t="shared" si="30"/>
        <v>3084775.1091667083</v>
      </c>
      <c r="E396" s="780">
        <f t="shared" si="32"/>
        <v>1682604.605</v>
      </c>
      <c r="F396" s="780">
        <f t="shared" si="26"/>
        <v>1402170.5041667083</v>
      </c>
      <c r="G396" s="727">
        <f t="shared" si="31"/>
        <v>2243472.8066667086</v>
      </c>
      <c r="H396" s="785">
        <f>+J356*G396+E396</f>
        <v>1940294.061949712</v>
      </c>
      <c r="I396" s="786">
        <f>+J357*G396+E396</f>
        <v>1940294.061949712</v>
      </c>
      <c r="J396" s="783">
        <f t="shared" si="33"/>
        <v>0</v>
      </c>
      <c r="K396" s="783"/>
      <c r="L396" s="1304"/>
      <c r="M396" s="783">
        <f t="shared" si="27"/>
        <v>0</v>
      </c>
      <c r="N396" s="1304"/>
      <c r="O396" s="783">
        <f t="shared" si="28"/>
        <v>0</v>
      </c>
      <c r="P396" s="783">
        <f t="shared" si="29"/>
        <v>0</v>
      </c>
    </row>
    <row r="397" spans="3:16">
      <c r="C397" s="779">
        <f>IF(D355="","-",+C396+1)</f>
        <v>2050</v>
      </c>
      <c r="D397" s="727">
        <f t="shared" si="30"/>
        <v>1402170.5041667083</v>
      </c>
      <c r="E397" s="780">
        <f t="shared" si="32"/>
        <v>1402170.5041667083</v>
      </c>
      <c r="F397" s="780">
        <f t="shared" si="26"/>
        <v>0</v>
      </c>
      <c r="G397" s="727">
        <f t="shared" si="31"/>
        <v>701085.25208335416</v>
      </c>
      <c r="H397" s="785">
        <f>+J356*G397+E397</f>
        <v>1482698.4594634941</v>
      </c>
      <c r="I397" s="786">
        <f>+J357*G397+E397</f>
        <v>1482698.4594634941</v>
      </c>
      <c r="J397" s="783">
        <f t="shared" si="33"/>
        <v>0</v>
      </c>
      <c r="K397" s="783"/>
      <c r="L397" s="1304"/>
      <c r="M397" s="783">
        <f t="shared" si="27"/>
        <v>0</v>
      </c>
      <c r="N397" s="1304"/>
      <c r="O397" s="783">
        <f t="shared" si="28"/>
        <v>0</v>
      </c>
      <c r="P397" s="783">
        <f t="shared" si="29"/>
        <v>0</v>
      </c>
    </row>
    <row r="398" spans="3:16">
      <c r="C398" s="779">
        <f>IF(D355="","-",+C397+1)</f>
        <v>2051</v>
      </c>
      <c r="D398" s="727">
        <f t="shared" si="30"/>
        <v>0</v>
      </c>
      <c r="E398" s="780">
        <f t="shared" si="32"/>
        <v>0</v>
      </c>
      <c r="F398" s="780">
        <f t="shared" si="26"/>
        <v>0</v>
      </c>
      <c r="G398" s="727">
        <f t="shared" si="31"/>
        <v>0</v>
      </c>
      <c r="H398" s="785">
        <f>+J356*G398+E398</f>
        <v>0</v>
      </c>
      <c r="I398" s="786">
        <f>+J357*G398+E398</f>
        <v>0</v>
      </c>
      <c r="J398" s="783">
        <f t="shared" si="33"/>
        <v>0</v>
      </c>
      <c r="K398" s="783"/>
      <c r="L398" s="1304"/>
      <c r="M398" s="783">
        <f t="shared" si="27"/>
        <v>0</v>
      </c>
      <c r="N398" s="1304"/>
      <c r="O398" s="783">
        <f t="shared" si="28"/>
        <v>0</v>
      </c>
      <c r="P398" s="783">
        <f t="shared" si="29"/>
        <v>0</v>
      </c>
    </row>
    <row r="399" spans="3:16">
      <c r="C399" s="779">
        <f>IF(D355="","-",+C398+1)</f>
        <v>2052</v>
      </c>
      <c r="D399" s="727">
        <f t="shared" si="30"/>
        <v>0</v>
      </c>
      <c r="E399" s="780">
        <f t="shared" si="32"/>
        <v>0</v>
      </c>
      <c r="F399" s="780">
        <f t="shared" si="26"/>
        <v>0</v>
      </c>
      <c r="G399" s="727">
        <f t="shared" si="31"/>
        <v>0</v>
      </c>
      <c r="H399" s="785">
        <f>+J356*G399+E399</f>
        <v>0</v>
      </c>
      <c r="I399" s="786">
        <f>+J357*G399+E399</f>
        <v>0</v>
      </c>
      <c r="J399" s="783">
        <f t="shared" si="33"/>
        <v>0</v>
      </c>
      <c r="K399" s="783"/>
      <c r="L399" s="1304"/>
      <c r="M399" s="783">
        <f t="shared" si="27"/>
        <v>0</v>
      </c>
      <c r="N399" s="1304"/>
      <c r="O399" s="783">
        <f t="shared" si="28"/>
        <v>0</v>
      </c>
      <c r="P399" s="783">
        <f t="shared" si="29"/>
        <v>0</v>
      </c>
    </row>
    <row r="400" spans="3:16">
      <c r="C400" s="779">
        <f>IF(D355="","-",+C399+1)</f>
        <v>2053</v>
      </c>
      <c r="D400" s="727">
        <f t="shared" si="30"/>
        <v>0</v>
      </c>
      <c r="E400" s="780">
        <f t="shared" si="32"/>
        <v>0</v>
      </c>
      <c r="F400" s="780">
        <f t="shared" si="26"/>
        <v>0</v>
      </c>
      <c r="G400" s="727">
        <f t="shared" si="31"/>
        <v>0</v>
      </c>
      <c r="H400" s="785">
        <f>+J356*G400+E400</f>
        <v>0</v>
      </c>
      <c r="I400" s="786">
        <f>+J357*G400+E400</f>
        <v>0</v>
      </c>
      <c r="J400" s="783">
        <f t="shared" si="33"/>
        <v>0</v>
      </c>
      <c r="K400" s="783"/>
      <c r="L400" s="1304"/>
      <c r="M400" s="783">
        <f t="shared" si="27"/>
        <v>0</v>
      </c>
      <c r="N400" s="1304"/>
      <c r="O400" s="783">
        <f t="shared" si="28"/>
        <v>0</v>
      </c>
      <c r="P400" s="783">
        <f t="shared" si="29"/>
        <v>0</v>
      </c>
    </row>
    <row r="401" spans="3:16">
      <c r="C401" s="779">
        <f>IF(D355="","-",+C400+1)</f>
        <v>2054</v>
      </c>
      <c r="D401" s="727">
        <f t="shared" si="30"/>
        <v>0</v>
      </c>
      <c r="E401" s="780">
        <f t="shared" si="32"/>
        <v>0</v>
      </c>
      <c r="F401" s="780">
        <f t="shared" si="26"/>
        <v>0</v>
      </c>
      <c r="G401" s="727">
        <f t="shared" si="31"/>
        <v>0</v>
      </c>
      <c r="H401" s="785">
        <f>+J356*G401+E401</f>
        <v>0</v>
      </c>
      <c r="I401" s="786">
        <f>+J357*G401+E401</f>
        <v>0</v>
      </c>
      <c r="J401" s="783">
        <f t="shared" si="33"/>
        <v>0</v>
      </c>
      <c r="K401" s="783"/>
      <c r="L401" s="1304"/>
      <c r="M401" s="783">
        <f t="shared" si="27"/>
        <v>0</v>
      </c>
      <c r="N401" s="1304"/>
      <c r="O401" s="783">
        <f t="shared" si="28"/>
        <v>0</v>
      </c>
      <c r="P401" s="783">
        <f t="shared" si="29"/>
        <v>0</v>
      </c>
    </row>
    <row r="402" spans="3:16">
      <c r="C402" s="779">
        <f>IF(D355="","-",+C401+1)</f>
        <v>2055</v>
      </c>
      <c r="D402" s="727">
        <f t="shared" si="30"/>
        <v>0</v>
      </c>
      <c r="E402" s="780">
        <f t="shared" si="32"/>
        <v>0</v>
      </c>
      <c r="F402" s="780">
        <f t="shared" si="26"/>
        <v>0</v>
      </c>
      <c r="G402" s="727">
        <f t="shared" si="31"/>
        <v>0</v>
      </c>
      <c r="H402" s="785">
        <f>+J356*G402+E402</f>
        <v>0</v>
      </c>
      <c r="I402" s="786">
        <f>+J357*G402+E402</f>
        <v>0</v>
      </c>
      <c r="J402" s="783">
        <f t="shared" si="33"/>
        <v>0</v>
      </c>
      <c r="K402" s="783"/>
      <c r="L402" s="1304"/>
      <c r="M402" s="783">
        <f t="shared" si="27"/>
        <v>0</v>
      </c>
      <c r="N402" s="1304"/>
      <c r="O402" s="783">
        <f t="shared" si="28"/>
        <v>0</v>
      </c>
      <c r="P402" s="783">
        <f t="shared" si="29"/>
        <v>0</v>
      </c>
    </row>
    <row r="403" spans="3:16">
      <c r="C403" s="779">
        <f>IF(D355="","-",+C402+1)</f>
        <v>2056</v>
      </c>
      <c r="D403" s="727">
        <f t="shared" si="30"/>
        <v>0</v>
      </c>
      <c r="E403" s="780">
        <f t="shared" si="32"/>
        <v>0</v>
      </c>
      <c r="F403" s="780">
        <f t="shared" si="26"/>
        <v>0</v>
      </c>
      <c r="G403" s="727">
        <f t="shared" si="31"/>
        <v>0</v>
      </c>
      <c r="H403" s="785">
        <f>+J356*G403+E403</f>
        <v>0</v>
      </c>
      <c r="I403" s="786">
        <f>+J357*G403+E403</f>
        <v>0</v>
      </c>
      <c r="J403" s="783">
        <f t="shared" si="33"/>
        <v>0</v>
      </c>
      <c r="K403" s="783"/>
      <c r="L403" s="1304"/>
      <c r="M403" s="783">
        <f t="shared" si="27"/>
        <v>0</v>
      </c>
      <c r="N403" s="1304"/>
      <c r="O403" s="783">
        <f t="shared" si="28"/>
        <v>0</v>
      </c>
      <c r="P403" s="783">
        <f t="shared" si="29"/>
        <v>0</v>
      </c>
    </row>
    <row r="404" spans="3:16">
      <c r="C404" s="779">
        <f>IF(D355="","-",+C403+1)</f>
        <v>2057</v>
      </c>
      <c r="D404" s="727">
        <f t="shared" si="30"/>
        <v>0</v>
      </c>
      <c r="E404" s="780">
        <f t="shared" si="32"/>
        <v>0</v>
      </c>
      <c r="F404" s="780">
        <f t="shared" si="26"/>
        <v>0</v>
      </c>
      <c r="G404" s="727">
        <f t="shared" si="31"/>
        <v>0</v>
      </c>
      <c r="H404" s="785">
        <f>+J356*G404+E404</f>
        <v>0</v>
      </c>
      <c r="I404" s="786">
        <f>+J357*G404+E404</f>
        <v>0</v>
      </c>
      <c r="J404" s="783">
        <f t="shared" si="33"/>
        <v>0</v>
      </c>
      <c r="K404" s="783"/>
      <c r="L404" s="1304"/>
      <c r="M404" s="783">
        <f t="shared" si="27"/>
        <v>0</v>
      </c>
      <c r="N404" s="1304"/>
      <c r="O404" s="783">
        <f t="shared" si="28"/>
        <v>0</v>
      </c>
      <c r="P404" s="783">
        <f t="shared" si="29"/>
        <v>0</v>
      </c>
    </row>
    <row r="405" spans="3:16">
      <c r="C405" s="779">
        <f>IF(D355="","-",+C404+1)</f>
        <v>2058</v>
      </c>
      <c r="D405" s="727">
        <f t="shared" si="30"/>
        <v>0</v>
      </c>
      <c r="E405" s="780">
        <f t="shared" si="32"/>
        <v>0</v>
      </c>
      <c r="F405" s="780">
        <f t="shared" si="26"/>
        <v>0</v>
      </c>
      <c r="G405" s="727">
        <f t="shared" si="31"/>
        <v>0</v>
      </c>
      <c r="H405" s="785">
        <f>+J356*G405+E405</f>
        <v>0</v>
      </c>
      <c r="I405" s="786">
        <f>+J357*G405+E405</f>
        <v>0</v>
      </c>
      <c r="J405" s="783">
        <f t="shared" si="33"/>
        <v>0</v>
      </c>
      <c r="K405" s="783"/>
      <c r="L405" s="1304"/>
      <c r="M405" s="783">
        <f t="shared" si="27"/>
        <v>0</v>
      </c>
      <c r="N405" s="1304"/>
      <c r="O405" s="783">
        <f t="shared" si="28"/>
        <v>0</v>
      </c>
      <c r="P405" s="783">
        <f t="shared" si="29"/>
        <v>0</v>
      </c>
    </row>
    <row r="406" spans="3:16">
      <c r="C406" s="779">
        <f>IF(D355="","-",+C405+1)</f>
        <v>2059</v>
      </c>
      <c r="D406" s="727">
        <f t="shared" si="30"/>
        <v>0</v>
      </c>
      <c r="E406" s="780">
        <f t="shared" si="32"/>
        <v>0</v>
      </c>
      <c r="F406" s="780">
        <f t="shared" si="26"/>
        <v>0</v>
      </c>
      <c r="G406" s="727">
        <f t="shared" si="31"/>
        <v>0</v>
      </c>
      <c r="H406" s="785">
        <f>+J356*G406+E406</f>
        <v>0</v>
      </c>
      <c r="I406" s="786">
        <f>+J357*G406+E406</f>
        <v>0</v>
      </c>
      <c r="J406" s="783">
        <f t="shared" si="33"/>
        <v>0</v>
      </c>
      <c r="K406" s="783"/>
      <c r="L406" s="1304"/>
      <c r="M406" s="783">
        <f t="shared" si="27"/>
        <v>0</v>
      </c>
      <c r="N406" s="1304"/>
      <c r="O406" s="783">
        <f t="shared" si="28"/>
        <v>0</v>
      </c>
      <c r="P406" s="783">
        <f t="shared" si="29"/>
        <v>0</v>
      </c>
    </row>
    <row r="407" spans="3:16">
      <c r="C407" s="779">
        <f>IF(D355="","-",+C406+1)</f>
        <v>2060</v>
      </c>
      <c r="D407" s="727">
        <f t="shared" si="30"/>
        <v>0</v>
      </c>
      <c r="E407" s="780">
        <f t="shared" si="32"/>
        <v>0</v>
      </c>
      <c r="F407" s="780">
        <f t="shared" si="26"/>
        <v>0</v>
      </c>
      <c r="G407" s="727">
        <f t="shared" si="31"/>
        <v>0</v>
      </c>
      <c r="H407" s="785">
        <f>+J356*G407+E407</f>
        <v>0</v>
      </c>
      <c r="I407" s="786">
        <f>+J357*G407+E407</f>
        <v>0</v>
      </c>
      <c r="J407" s="783">
        <f t="shared" si="33"/>
        <v>0</v>
      </c>
      <c r="K407" s="783"/>
      <c r="L407" s="1304"/>
      <c r="M407" s="783">
        <f t="shared" si="27"/>
        <v>0</v>
      </c>
      <c r="N407" s="1304"/>
      <c r="O407" s="783">
        <f t="shared" si="28"/>
        <v>0</v>
      </c>
      <c r="P407" s="783">
        <f t="shared" si="29"/>
        <v>0</v>
      </c>
    </row>
    <row r="408" spans="3:16">
      <c r="C408" s="779">
        <f>IF(D355="","-",+C407+1)</f>
        <v>2061</v>
      </c>
      <c r="D408" s="727">
        <f t="shared" si="30"/>
        <v>0</v>
      </c>
      <c r="E408" s="780">
        <f t="shared" si="32"/>
        <v>0</v>
      </c>
      <c r="F408" s="780">
        <f t="shared" si="26"/>
        <v>0</v>
      </c>
      <c r="G408" s="727">
        <f t="shared" si="31"/>
        <v>0</v>
      </c>
      <c r="H408" s="785">
        <f>+J356*G408+E408</f>
        <v>0</v>
      </c>
      <c r="I408" s="786">
        <f>+J357*G408+E408</f>
        <v>0</v>
      </c>
      <c r="J408" s="783">
        <f t="shared" si="33"/>
        <v>0</v>
      </c>
      <c r="K408" s="783"/>
      <c r="L408" s="1304"/>
      <c r="M408" s="783">
        <f t="shared" si="27"/>
        <v>0</v>
      </c>
      <c r="N408" s="1304"/>
      <c r="O408" s="783">
        <f t="shared" si="28"/>
        <v>0</v>
      </c>
      <c r="P408" s="783">
        <f t="shared" si="29"/>
        <v>0</v>
      </c>
    </row>
    <row r="409" spans="3:16">
      <c r="C409" s="779">
        <f>IF(D355="","-",+C408+1)</f>
        <v>2062</v>
      </c>
      <c r="D409" s="727">
        <f t="shared" si="30"/>
        <v>0</v>
      </c>
      <c r="E409" s="780">
        <f t="shared" si="32"/>
        <v>0</v>
      </c>
      <c r="F409" s="780">
        <f t="shared" si="26"/>
        <v>0</v>
      </c>
      <c r="G409" s="727">
        <f t="shared" si="31"/>
        <v>0</v>
      </c>
      <c r="H409" s="785">
        <f>+J356*G409+E409</f>
        <v>0</v>
      </c>
      <c r="I409" s="786">
        <f>+J357*G409+E409</f>
        <v>0</v>
      </c>
      <c r="J409" s="783">
        <f t="shared" si="33"/>
        <v>0</v>
      </c>
      <c r="K409" s="783"/>
      <c r="L409" s="1304"/>
      <c r="M409" s="783">
        <f t="shared" si="27"/>
        <v>0</v>
      </c>
      <c r="N409" s="1304"/>
      <c r="O409" s="783">
        <f t="shared" si="28"/>
        <v>0</v>
      </c>
      <c r="P409" s="783">
        <f t="shared" si="29"/>
        <v>0</v>
      </c>
    </row>
    <row r="410" spans="3:16">
      <c r="C410" s="779">
        <f>IF(D355="","-",+C409+1)</f>
        <v>2063</v>
      </c>
      <c r="D410" s="727">
        <f t="shared" si="30"/>
        <v>0</v>
      </c>
      <c r="E410" s="780">
        <f t="shared" si="32"/>
        <v>0</v>
      </c>
      <c r="F410" s="780">
        <f t="shared" si="26"/>
        <v>0</v>
      </c>
      <c r="G410" s="727">
        <f t="shared" si="31"/>
        <v>0</v>
      </c>
      <c r="H410" s="785">
        <f>+J356*G410+E410</f>
        <v>0</v>
      </c>
      <c r="I410" s="786">
        <f>+J357*G410+E410</f>
        <v>0</v>
      </c>
      <c r="J410" s="783">
        <f t="shared" si="33"/>
        <v>0</v>
      </c>
      <c r="K410" s="783"/>
      <c r="L410" s="1304"/>
      <c r="M410" s="783">
        <f t="shared" si="27"/>
        <v>0</v>
      </c>
      <c r="N410" s="1304"/>
      <c r="O410" s="783">
        <f t="shared" si="28"/>
        <v>0</v>
      </c>
      <c r="P410" s="783">
        <f t="shared" si="29"/>
        <v>0</v>
      </c>
    </row>
    <row r="411" spans="3:16">
      <c r="C411" s="779">
        <f>IF(D355="","-",+C410+1)</f>
        <v>2064</v>
      </c>
      <c r="D411" s="727">
        <f t="shared" si="30"/>
        <v>0</v>
      </c>
      <c r="E411" s="780">
        <f t="shared" si="32"/>
        <v>0</v>
      </c>
      <c r="F411" s="780">
        <f t="shared" si="26"/>
        <v>0</v>
      </c>
      <c r="G411" s="727">
        <f t="shared" si="31"/>
        <v>0</v>
      </c>
      <c r="H411" s="785">
        <f>+J356*G411+E411</f>
        <v>0</v>
      </c>
      <c r="I411" s="786">
        <f>+J357*G411+E411</f>
        <v>0</v>
      </c>
      <c r="J411" s="783">
        <f t="shared" si="33"/>
        <v>0</v>
      </c>
      <c r="K411" s="783"/>
      <c r="L411" s="1304"/>
      <c r="M411" s="783">
        <f t="shared" si="27"/>
        <v>0</v>
      </c>
      <c r="N411" s="1304"/>
      <c r="O411" s="783">
        <f t="shared" si="28"/>
        <v>0</v>
      </c>
      <c r="P411" s="783">
        <f t="shared" si="29"/>
        <v>0</v>
      </c>
    </row>
    <row r="412" spans="3:16">
      <c r="C412" s="779">
        <f>IF(D355="","-",+C411+1)</f>
        <v>2065</v>
      </c>
      <c r="D412" s="727">
        <f t="shared" si="30"/>
        <v>0</v>
      </c>
      <c r="E412" s="780">
        <f t="shared" si="32"/>
        <v>0</v>
      </c>
      <c r="F412" s="780">
        <f t="shared" si="26"/>
        <v>0</v>
      </c>
      <c r="G412" s="727">
        <f t="shared" si="31"/>
        <v>0</v>
      </c>
      <c r="H412" s="785">
        <f>+J356*G412+E412</f>
        <v>0</v>
      </c>
      <c r="I412" s="786">
        <f>+J357*G412+E412</f>
        <v>0</v>
      </c>
      <c r="J412" s="783">
        <f t="shared" si="33"/>
        <v>0</v>
      </c>
      <c r="K412" s="783"/>
      <c r="L412" s="1304"/>
      <c r="M412" s="783">
        <f t="shared" si="27"/>
        <v>0</v>
      </c>
      <c r="N412" s="1304"/>
      <c r="O412" s="783">
        <f t="shared" si="28"/>
        <v>0</v>
      </c>
      <c r="P412" s="783">
        <f t="shared" si="29"/>
        <v>0</v>
      </c>
    </row>
    <row r="413" spans="3:16">
      <c r="C413" s="779">
        <f>IF(D355="","-",+C412+1)</f>
        <v>2066</v>
      </c>
      <c r="D413" s="727">
        <f t="shared" si="30"/>
        <v>0</v>
      </c>
      <c r="E413" s="780">
        <f t="shared" si="32"/>
        <v>0</v>
      </c>
      <c r="F413" s="780">
        <f t="shared" si="26"/>
        <v>0</v>
      </c>
      <c r="G413" s="727">
        <f t="shared" si="31"/>
        <v>0</v>
      </c>
      <c r="H413" s="785">
        <f>+J356*G413+E413</f>
        <v>0</v>
      </c>
      <c r="I413" s="786">
        <f>+J357*G413+E413</f>
        <v>0</v>
      </c>
      <c r="J413" s="783">
        <f t="shared" si="33"/>
        <v>0</v>
      </c>
      <c r="K413" s="783"/>
      <c r="L413" s="1304"/>
      <c r="M413" s="783">
        <f t="shared" si="27"/>
        <v>0</v>
      </c>
      <c r="N413" s="1304"/>
      <c r="O413" s="783">
        <f t="shared" si="28"/>
        <v>0</v>
      </c>
      <c r="P413" s="783">
        <f t="shared" si="29"/>
        <v>0</v>
      </c>
    </row>
    <row r="414" spans="3:16">
      <c r="C414" s="779">
        <f>IF(D355="","-",+C413+1)</f>
        <v>2067</v>
      </c>
      <c r="D414" s="727">
        <f t="shared" si="30"/>
        <v>0</v>
      </c>
      <c r="E414" s="780">
        <f t="shared" si="32"/>
        <v>0</v>
      </c>
      <c r="F414" s="780">
        <f t="shared" si="26"/>
        <v>0</v>
      </c>
      <c r="G414" s="727">
        <f t="shared" si="31"/>
        <v>0</v>
      </c>
      <c r="H414" s="785">
        <f>+J356*G414+E414</f>
        <v>0</v>
      </c>
      <c r="I414" s="786">
        <f>+J357*G414+E414</f>
        <v>0</v>
      </c>
      <c r="J414" s="783">
        <f t="shared" si="33"/>
        <v>0</v>
      </c>
      <c r="K414" s="783"/>
      <c r="L414" s="1304"/>
      <c r="M414" s="783">
        <f t="shared" si="27"/>
        <v>0</v>
      </c>
      <c r="N414" s="1304"/>
      <c r="O414" s="783">
        <f t="shared" si="28"/>
        <v>0</v>
      </c>
      <c r="P414" s="783">
        <f t="shared" si="29"/>
        <v>0</v>
      </c>
    </row>
    <row r="415" spans="3:16">
      <c r="C415" s="779">
        <f>IF(D355="","-",+C414+1)</f>
        <v>2068</v>
      </c>
      <c r="D415" s="727">
        <f t="shared" ref="D415:D420" si="34">F414</f>
        <v>0</v>
      </c>
      <c r="E415" s="780">
        <f t="shared" si="32"/>
        <v>0</v>
      </c>
      <c r="F415" s="780">
        <f t="shared" si="26"/>
        <v>0</v>
      </c>
      <c r="G415" s="727">
        <f t="shared" si="31"/>
        <v>0</v>
      </c>
      <c r="H415" s="785">
        <f>+J356*G415+E415</f>
        <v>0</v>
      </c>
      <c r="I415" s="786">
        <f>+J357*G415+E415</f>
        <v>0</v>
      </c>
      <c r="J415" s="783">
        <f t="shared" si="33"/>
        <v>0</v>
      </c>
      <c r="K415" s="783"/>
      <c r="L415" s="1304"/>
      <c r="M415" s="783">
        <f t="shared" si="27"/>
        <v>0</v>
      </c>
      <c r="N415" s="1304"/>
      <c r="O415" s="783">
        <f t="shared" si="28"/>
        <v>0</v>
      </c>
      <c r="P415" s="783">
        <f t="shared" si="29"/>
        <v>0</v>
      </c>
    </row>
    <row r="416" spans="3:16">
      <c r="C416" s="779">
        <f>IF(D355="","-",+C415+1)</f>
        <v>2069</v>
      </c>
      <c r="D416" s="727">
        <f t="shared" si="34"/>
        <v>0</v>
      </c>
      <c r="E416" s="780">
        <f t="shared" si="32"/>
        <v>0</v>
      </c>
      <c r="F416" s="780">
        <f t="shared" si="26"/>
        <v>0</v>
      </c>
      <c r="G416" s="727">
        <f t="shared" si="31"/>
        <v>0</v>
      </c>
      <c r="H416" s="785">
        <f>+J356*G416+E416</f>
        <v>0</v>
      </c>
      <c r="I416" s="786">
        <f>+J357*G416+E416</f>
        <v>0</v>
      </c>
      <c r="J416" s="783">
        <f t="shared" si="33"/>
        <v>0</v>
      </c>
      <c r="K416" s="783"/>
      <c r="L416" s="1304"/>
      <c r="M416" s="783">
        <f t="shared" si="27"/>
        <v>0</v>
      </c>
      <c r="N416" s="1304"/>
      <c r="O416" s="783">
        <f t="shared" si="28"/>
        <v>0</v>
      </c>
      <c r="P416" s="783">
        <f t="shared" si="29"/>
        <v>0</v>
      </c>
    </row>
    <row r="417" spans="1:17">
      <c r="C417" s="779">
        <f>IF(D355="","-",+C416+1)</f>
        <v>2070</v>
      </c>
      <c r="D417" s="727">
        <f t="shared" si="34"/>
        <v>0</v>
      </c>
      <c r="E417" s="780">
        <f t="shared" si="32"/>
        <v>0</v>
      </c>
      <c r="F417" s="780">
        <f t="shared" si="26"/>
        <v>0</v>
      </c>
      <c r="G417" s="727">
        <f t="shared" si="31"/>
        <v>0</v>
      </c>
      <c r="H417" s="785">
        <f>+J356*G417+E417</f>
        <v>0</v>
      </c>
      <c r="I417" s="786">
        <f>+J357*G417+E417</f>
        <v>0</v>
      </c>
      <c r="J417" s="783">
        <f t="shared" si="33"/>
        <v>0</v>
      </c>
      <c r="K417" s="783"/>
      <c r="L417" s="1304"/>
      <c r="M417" s="783">
        <f t="shared" si="27"/>
        <v>0</v>
      </c>
      <c r="N417" s="1304"/>
      <c r="O417" s="783">
        <f t="shared" si="28"/>
        <v>0</v>
      </c>
      <c r="P417" s="783">
        <f t="shared" si="29"/>
        <v>0</v>
      </c>
    </row>
    <row r="418" spans="1:17">
      <c r="C418" s="779">
        <f>IF(D355="","-",+C417+1)</f>
        <v>2071</v>
      </c>
      <c r="D418" s="727">
        <f t="shared" si="34"/>
        <v>0</v>
      </c>
      <c r="E418" s="780">
        <f t="shared" si="32"/>
        <v>0</v>
      </c>
      <c r="F418" s="780">
        <f t="shared" si="26"/>
        <v>0</v>
      </c>
      <c r="G418" s="727">
        <f t="shared" si="31"/>
        <v>0</v>
      </c>
      <c r="H418" s="785">
        <f>+J356*G418+E418</f>
        <v>0</v>
      </c>
      <c r="I418" s="786">
        <f>+J357*G418+E418</f>
        <v>0</v>
      </c>
      <c r="J418" s="783">
        <f t="shared" si="33"/>
        <v>0</v>
      </c>
      <c r="K418" s="783"/>
      <c r="L418" s="1304"/>
      <c r="M418" s="783">
        <f t="shared" si="27"/>
        <v>0</v>
      </c>
      <c r="N418" s="1304"/>
      <c r="O418" s="783">
        <f t="shared" si="28"/>
        <v>0</v>
      </c>
      <c r="P418" s="783">
        <f t="shared" si="29"/>
        <v>0</v>
      </c>
    </row>
    <row r="419" spans="1:17">
      <c r="C419" s="779">
        <f>IF(D355="","-",+C418+1)</f>
        <v>2072</v>
      </c>
      <c r="D419" s="727">
        <f t="shared" si="34"/>
        <v>0</v>
      </c>
      <c r="E419" s="780">
        <f t="shared" si="32"/>
        <v>0</v>
      </c>
      <c r="F419" s="780">
        <f t="shared" si="26"/>
        <v>0</v>
      </c>
      <c r="G419" s="727">
        <f t="shared" si="31"/>
        <v>0</v>
      </c>
      <c r="H419" s="785">
        <f>+J356*G419+E419</f>
        <v>0</v>
      </c>
      <c r="I419" s="786">
        <f>+J357*G419+E419</f>
        <v>0</v>
      </c>
      <c r="J419" s="783">
        <f t="shared" si="33"/>
        <v>0</v>
      </c>
      <c r="K419" s="783"/>
      <c r="L419" s="1304"/>
      <c r="M419" s="783">
        <f t="shared" si="27"/>
        <v>0</v>
      </c>
      <c r="N419" s="1304"/>
      <c r="O419" s="783">
        <f t="shared" si="28"/>
        <v>0</v>
      </c>
      <c r="P419" s="783">
        <f t="shared" si="29"/>
        <v>0</v>
      </c>
    </row>
    <row r="420" spans="1:17" ht="13.5" thickBot="1">
      <c r="C420" s="789">
        <f>IF(D355="","-",+C419+1)</f>
        <v>2073</v>
      </c>
      <c r="D420" s="790">
        <f t="shared" si="34"/>
        <v>0</v>
      </c>
      <c r="E420" s="791">
        <f t="shared" si="32"/>
        <v>0</v>
      </c>
      <c r="F420" s="791">
        <f t="shared" si="26"/>
        <v>0</v>
      </c>
      <c r="G420" s="790">
        <f t="shared" si="31"/>
        <v>0</v>
      </c>
      <c r="H420" s="792">
        <f>+J356*G420+E420</f>
        <v>0</v>
      </c>
      <c r="I420" s="792">
        <f>+J357*G420+E420</f>
        <v>0</v>
      </c>
      <c r="J420" s="793">
        <f t="shared" si="33"/>
        <v>0</v>
      </c>
      <c r="K420" s="783"/>
      <c r="L420" s="1305"/>
      <c r="M420" s="793">
        <f t="shared" si="27"/>
        <v>0</v>
      </c>
      <c r="N420" s="1305"/>
      <c r="O420" s="793">
        <f t="shared" si="28"/>
        <v>0</v>
      </c>
      <c r="P420" s="793">
        <f t="shared" si="29"/>
        <v>0</v>
      </c>
    </row>
    <row r="421" spans="1:17">
      <c r="C421" s="727" t="s">
        <v>93</v>
      </c>
      <c r="D421" s="721"/>
      <c r="E421" s="721">
        <f>SUM(E361:E420)</f>
        <v>60573765.779999994</v>
      </c>
      <c r="F421" s="721"/>
      <c r="G421" s="721"/>
      <c r="H421" s="721">
        <f>SUM(H361:H420)</f>
        <v>191608854.63892627</v>
      </c>
      <c r="I421" s="721">
        <f>SUM(I361:I420)</f>
        <v>191608854.63892627</v>
      </c>
      <c r="J421" s="721">
        <f>SUM(J361:J420)</f>
        <v>0</v>
      </c>
      <c r="K421" s="721"/>
      <c r="L421" s="721"/>
      <c r="M421" s="721"/>
      <c r="N421" s="721"/>
      <c r="O421" s="721"/>
    </row>
    <row r="422" spans="1:17">
      <c r="D422" s="529"/>
      <c r="E422" s="308"/>
      <c r="F422" s="308"/>
      <c r="G422" s="308"/>
      <c r="H422" s="308"/>
      <c r="I422" s="699"/>
      <c r="J422" s="699"/>
      <c r="K422" s="721"/>
      <c r="L422" s="699"/>
      <c r="M422" s="699"/>
      <c r="N422" s="699"/>
      <c r="O422" s="699"/>
    </row>
    <row r="423" spans="1:17">
      <c r="C423" s="308" t="s">
        <v>15</v>
      </c>
      <c r="D423" s="529"/>
      <c r="E423" s="308"/>
      <c r="F423" s="308"/>
      <c r="G423" s="308"/>
      <c r="H423" s="308"/>
      <c r="I423" s="699"/>
      <c r="J423" s="699"/>
      <c r="K423" s="721"/>
      <c r="L423" s="699"/>
      <c r="M423" s="699"/>
      <c r="N423" s="699"/>
      <c r="O423" s="699"/>
    </row>
    <row r="424" spans="1:17">
      <c r="C424" s="308"/>
      <c r="D424" s="529"/>
      <c r="E424" s="308"/>
      <c r="F424" s="308"/>
      <c r="G424" s="308"/>
      <c r="H424" s="308"/>
      <c r="I424" s="699"/>
      <c r="J424" s="699"/>
      <c r="K424" s="721"/>
      <c r="L424" s="699"/>
      <c r="M424" s="699"/>
      <c r="N424" s="699"/>
      <c r="O424" s="699"/>
    </row>
    <row r="425" spans="1:17">
      <c r="C425" s="740" t="s">
        <v>16</v>
      </c>
      <c r="D425" s="727"/>
      <c r="E425" s="727"/>
      <c r="F425" s="727"/>
      <c r="G425" s="727"/>
      <c r="H425" s="721"/>
      <c r="I425" s="721"/>
      <c r="J425" s="795"/>
      <c r="K425" s="795"/>
      <c r="L425" s="795"/>
      <c r="M425" s="795"/>
      <c r="N425" s="795"/>
      <c r="O425" s="795"/>
    </row>
    <row r="426" spans="1:17">
      <c r="C426" s="726" t="s">
        <v>273</v>
      </c>
      <c r="D426" s="727"/>
      <c r="E426" s="727"/>
      <c r="F426" s="727"/>
      <c r="G426" s="727"/>
      <c r="H426" s="721"/>
      <c r="I426" s="721"/>
      <c r="J426" s="795"/>
      <c r="K426" s="795"/>
      <c r="L426" s="795"/>
      <c r="M426" s="795"/>
      <c r="N426" s="795"/>
      <c r="O426" s="795"/>
    </row>
    <row r="427" spans="1:17">
      <c r="C427" s="726" t="s">
        <v>94</v>
      </c>
      <c r="D427" s="727"/>
      <c r="E427" s="727"/>
      <c r="F427" s="727"/>
      <c r="G427" s="727"/>
      <c r="H427" s="721"/>
      <c r="I427" s="721"/>
      <c r="J427" s="795"/>
      <c r="K427" s="795"/>
      <c r="L427" s="795"/>
      <c r="M427" s="795"/>
      <c r="N427" s="795"/>
      <c r="O427" s="795"/>
    </row>
    <row r="428" spans="1:17">
      <c r="C428" s="726"/>
      <c r="D428" s="727"/>
      <c r="E428" s="727"/>
      <c r="F428" s="727"/>
      <c r="G428" s="727"/>
      <c r="H428" s="721"/>
      <c r="I428" s="721"/>
      <c r="J428" s="795"/>
      <c r="K428" s="795"/>
      <c r="L428" s="795"/>
      <c r="M428" s="795"/>
      <c r="N428" s="795"/>
      <c r="O428" s="795"/>
    </row>
    <row r="429" spans="1:17" ht="20.25">
      <c r="A429" s="728" t="str">
        <f>""&amp;A351&amp;" Worksheet K -  ATRR TRUE-UP Calculation for PJM Projects Charged to Benefiting Zones"</f>
        <v xml:space="preserve"> Worksheet K -  ATRR TRUE-UP Calculation for PJM Projects Charged to Benefiting Zones</v>
      </c>
      <c r="B429" s="341"/>
      <c r="C429" s="716"/>
      <c r="D429" s="529"/>
      <c r="E429" s="308"/>
      <c r="F429" s="698"/>
      <c r="G429" s="698"/>
      <c r="H429" s="308"/>
      <c r="I429" s="699"/>
      <c r="L429" s="555"/>
      <c r="M429" s="555"/>
      <c r="N429" s="555"/>
      <c r="O429" s="644" t="str">
        <f>"Page "&amp;SUM(Q$8:Q429)&amp;" of "</f>
        <v xml:space="preserve">Page 5 of </v>
      </c>
      <c r="P429" s="645">
        <f>COUNT(Q$8:Q$56657)</f>
        <v>10</v>
      </c>
      <c r="Q429" s="172">
        <v>1</v>
      </c>
    </row>
    <row r="430" spans="1:17">
      <c r="B430" s="341"/>
      <c r="C430" s="308"/>
      <c r="D430" s="529"/>
      <c r="E430" s="308"/>
      <c r="F430" s="308"/>
      <c r="G430" s="308"/>
      <c r="H430" s="308"/>
      <c r="I430" s="699"/>
      <c r="J430" s="308"/>
      <c r="K430" s="418"/>
    </row>
    <row r="431" spans="1:17" ht="18">
      <c r="B431" s="648" t="s">
        <v>474</v>
      </c>
      <c r="C431" s="730" t="s">
        <v>95</v>
      </c>
      <c r="D431" s="529"/>
      <c r="E431" s="308"/>
      <c r="F431" s="308"/>
      <c r="G431" s="308"/>
      <c r="H431" s="308"/>
      <c r="I431" s="699"/>
      <c r="J431" s="699"/>
      <c r="K431" s="721"/>
      <c r="L431" s="699"/>
      <c r="M431" s="699"/>
      <c r="N431" s="699"/>
      <c r="O431" s="699"/>
    </row>
    <row r="432" spans="1:17" ht="18.75">
      <c r="B432" s="648"/>
      <c r="C432" s="647"/>
      <c r="D432" s="529"/>
      <c r="E432" s="308"/>
      <c r="F432" s="308"/>
      <c r="G432" s="308"/>
      <c r="H432" s="308"/>
      <c r="I432" s="699"/>
      <c r="J432" s="699"/>
      <c r="K432" s="721"/>
      <c r="L432" s="699"/>
      <c r="M432" s="699"/>
      <c r="N432" s="699"/>
      <c r="O432" s="699"/>
    </row>
    <row r="433" spans="1:16" ht="18.75">
      <c r="B433" s="648"/>
      <c r="C433" s="647" t="s">
        <v>96</v>
      </c>
      <c r="D433" s="529"/>
      <c r="E433" s="308"/>
      <c r="F433" s="308"/>
      <c r="G433" s="308"/>
      <c r="H433" s="308"/>
      <c r="I433" s="699"/>
      <c r="J433" s="699"/>
      <c r="K433" s="721"/>
      <c r="L433" s="699"/>
      <c r="M433" s="699"/>
      <c r="N433" s="699"/>
      <c r="O433" s="699"/>
    </row>
    <row r="434" spans="1:16" ht="15.75" thickBot="1">
      <c r="C434" s="239"/>
      <c r="D434" s="529"/>
      <c r="E434" s="308"/>
      <c r="F434" s="308"/>
      <c r="G434" s="308"/>
      <c r="H434" s="308"/>
      <c r="I434" s="699"/>
      <c r="J434" s="699"/>
      <c r="K434" s="721"/>
      <c r="L434" s="699"/>
      <c r="M434" s="699"/>
      <c r="N434" s="699"/>
      <c r="O434" s="699"/>
    </row>
    <row r="435" spans="1:16" ht="15.75">
      <c r="C435" s="650" t="s">
        <v>97</v>
      </c>
      <c r="D435" s="529"/>
      <c r="E435" s="308"/>
      <c r="F435" s="308"/>
      <c r="G435" s="308"/>
      <c r="H435" s="797"/>
      <c r="I435" s="308" t="s">
        <v>76</v>
      </c>
      <c r="J435" s="308"/>
      <c r="K435" s="418"/>
      <c r="L435" s="826">
        <f>+J441</f>
        <v>2022</v>
      </c>
      <c r="M435" s="807" t="s">
        <v>54</v>
      </c>
      <c r="N435" s="807" t="s">
        <v>55</v>
      </c>
      <c r="O435" s="808" t="s">
        <v>57</v>
      </c>
    </row>
    <row r="436" spans="1:16" ht="15.75">
      <c r="C436" s="650"/>
      <c r="D436" s="529"/>
      <c r="E436" s="308"/>
      <c r="F436" s="308"/>
      <c r="H436" s="308"/>
      <c r="I436" s="735"/>
      <c r="J436" s="735"/>
      <c r="K436" s="736"/>
      <c r="L436" s="827" t="s">
        <v>245</v>
      </c>
      <c r="M436" s="828">
        <f>VLOOKUP(J441,C448:P507,10)</f>
        <v>12166987.339047994</v>
      </c>
      <c r="N436" s="828">
        <f>VLOOKUP(J441,C448:P507,12)</f>
        <v>12166987.339047994</v>
      </c>
      <c r="O436" s="829">
        <f>+N436-M436</f>
        <v>0</v>
      </c>
    </row>
    <row r="437" spans="1:16" ht="12.95" customHeight="1">
      <c r="C437" s="740" t="s">
        <v>98</v>
      </c>
      <c r="D437" s="1553" t="s">
        <v>821</v>
      </c>
      <c r="E437" s="1553"/>
      <c r="F437" s="1553"/>
      <c r="G437" s="1553"/>
      <c r="H437" s="1553"/>
      <c r="I437" s="1553"/>
      <c r="J437" s="699"/>
      <c r="K437" s="721"/>
      <c r="L437" s="827" t="s">
        <v>246</v>
      </c>
      <c r="M437" s="830">
        <f>VLOOKUP(J441,C448:P507,6)</f>
        <v>12242573.562396213</v>
      </c>
      <c r="N437" s="830">
        <f>VLOOKUP(J441,C448:P507,7)</f>
        <v>12242573.562396213</v>
      </c>
      <c r="O437" s="831">
        <f>+N437-M437</f>
        <v>0</v>
      </c>
    </row>
    <row r="438" spans="1:16" ht="13.5" thickBot="1">
      <c r="C438" s="744"/>
      <c r="D438" s="1553"/>
      <c r="E438" s="1553"/>
      <c r="F438" s="1553"/>
      <c r="G438" s="1553"/>
      <c r="H438" s="1553"/>
      <c r="I438" s="1553"/>
      <c r="J438" s="699"/>
      <c r="K438" s="721"/>
      <c r="L438" s="763" t="s">
        <v>247</v>
      </c>
      <c r="M438" s="832">
        <f>+M437-M436</f>
        <v>75586.223348218948</v>
      </c>
      <c r="N438" s="832">
        <f>+N437-N436</f>
        <v>75586.223348218948</v>
      </c>
      <c r="O438" s="833">
        <f>+O437-O436</f>
        <v>0</v>
      </c>
    </row>
    <row r="439" spans="1:16" ht="13.5" thickBot="1">
      <c r="C439" s="747"/>
      <c r="D439" s="748"/>
      <c r="E439" s="746"/>
      <c r="F439" s="746"/>
      <c r="G439" s="746"/>
      <c r="H439" s="746"/>
      <c r="I439" s="746"/>
      <c r="J439" s="746"/>
      <c r="K439" s="749"/>
      <c r="L439" s="746"/>
      <c r="M439" s="746"/>
      <c r="N439" s="746"/>
      <c r="O439" s="746"/>
      <c r="P439" s="341"/>
    </row>
    <row r="440" spans="1:16" ht="13.5" thickBot="1">
      <c r="C440" s="750" t="s">
        <v>99</v>
      </c>
      <c r="D440" s="1394"/>
      <c r="E440" s="1394"/>
      <c r="F440" s="1394"/>
      <c r="G440" s="1394"/>
      <c r="H440" s="1394"/>
      <c r="I440" s="1394"/>
      <c r="J440" s="1394"/>
      <c r="K440" s="753"/>
      <c r="P440" s="754"/>
    </row>
    <row r="441" spans="1:16" ht="15">
      <c r="A441" s="1331"/>
      <c r="C441" s="755" t="s">
        <v>77</v>
      </c>
      <c r="D441" s="799">
        <v>99133366.299999997</v>
      </c>
      <c r="E441" s="716" t="s">
        <v>78</v>
      </c>
      <c r="H441" s="756"/>
      <c r="I441" s="756"/>
      <c r="J441" s="757">
        <f>$J$93</f>
        <v>2022</v>
      </c>
      <c r="K441" s="545"/>
      <c r="L441" s="1554" t="s">
        <v>79</v>
      </c>
      <c r="M441" s="1554"/>
      <c r="N441" s="1554"/>
      <c r="O441" s="1554"/>
      <c r="P441" s="418"/>
    </row>
    <row r="442" spans="1:16">
      <c r="C442" s="755" t="s">
        <v>80</v>
      </c>
      <c r="D442" s="1301">
        <v>2016</v>
      </c>
      <c r="E442" s="755" t="s">
        <v>81</v>
      </c>
      <c r="F442" s="756"/>
      <c r="G442" s="756"/>
      <c r="I442" s="172"/>
      <c r="J442" s="801">
        <f>IF(H435="",0,$F$17)</f>
        <v>0</v>
      </c>
      <c r="K442" s="758"/>
      <c r="L442" s="721" t="s">
        <v>287</v>
      </c>
      <c r="P442" s="418"/>
    </row>
    <row r="443" spans="1:16">
      <c r="C443" s="755" t="s">
        <v>82</v>
      </c>
      <c r="D443" s="799">
        <v>6</v>
      </c>
      <c r="E443" s="755" t="s">
        <v>83</v>
      </c>
      <c r="F443" s="756"/>
      <c r="G443" s="756"/>
      <c r="I443" s="172"/>
      <c r="J443" s="759">
        <f>$F$70</f>
        <v>0.11486185889303469</v>
      </c>
      <c r="K443" s="760"/>
      <c r="L443" s="308" t="str">
        <f>"          INPUT TRUE-UP ARR (WITH &amp; WITHOUT INCENTIVES) FROM EACH PRIOR YEAR"</f>
        <v xml:space="preserve">          INPUT TRUE-UP ARR (WITH &amp; WITHOUT INCENTIVES) FROM EACH PRIOR YEAR</v>
      </c>
      <c r="P443" s="418"/>
    </row>
    <row r="444" spans="1:16">
      <c r="C444" s="755" t="s">
        <v>84</v>
      </c>
      <c r="D444" s="761">
        <f>H$79</f>
        <v>36</v>
      </c>
      <c r="E444" s="755" t="s">
        <v>85</v>
      </c>
      <c r="F444" s="756"/>
      <c r="G444" s="756"/>
      <c r="I444" s="172"/>
      <c r="J444" s="759">
        <f>IF(H435="",+J443,$F$69)</f>
        <v>0.11486185889303469</v>
      </c>
      <c r="K444" s="762"/>
      <c r="L444" s="308" t="s">
        <v>167</v>
      </c>
      <c r="M444" s="762"/>
      <c r="N444" s="762"/>
      <c r="O444" s="762"/>
      <c r="P444" s="418"/>
    </row>
    <row r="445" spans="1:16" ht="13.5" thickBot="1">
      <c r="C445" s="755" t="s">
        <v>86</v>
      </c>
      <c r="D445" s="1322" t="s">
        <v>814</v>
      </c>
      <c r="E445" s="763" t="s">
        <v>87</v>
      </c>
      <c r="F445" s="764"/>
      <c r="G445" s="764"/>
      <c r="H445" s="765"/>
      <c r="I445" s="765"/>
      <c r="J445" s="743">
        <f>IF(D441=0,0,D441/D444)</f>
        <v>2753704.6194444443</v>
      </c>
      <c r="K445" s="721"/>
      <c r="L445" s="721" t="s">
        <v>168</v>
      </c>
      <c r="M445" s="721"/>
      <c r="N445" s="721"/>
      <c r="O445" s="721"/>
      <c r="P445" s="418"/>
    </row>
    <row r="446" spans="1:16" ht="38.25">
      <c r="B446" s="836"/>
      <c r="C446" s="766" t="s">
        <v>77</v>
      </c>
      <c r="D446" s="767" t="s">
        <v>88</v>
      </c>
      <c r="E446" s="768" t="s">
        <v>89</v>
      </c>
      <c r="F446" s="767" t="s">
        <v>90</v>
      </c>
      <c r="G446" s="767" t="s">
        <v>248</v>
      </c>
      <c r="H446" s="768" t="s">
        <v>161</v>
      </c>
      <c r="I446" s="769" t="s">
        <v>161</v>
      </c>
      <c r="J446" s="766" t="s">
        <v>100</v>
      </c>
      <c r="K446" s="770"/>
      <c r="L446" s="768" t="s">
        <v>163</v>
      </c>
      <c r="M446" s="768" t="s">
        <v>169</v>
      </c>
      <c r="N446" s="768" t="s">
        <v>163</v>
      </c>
      <c r="O446" s="768" t="s">
        <v>171</v>
      </c>
      <c r="P446" s="768" t="s">
        <v>91</v>
      </c>
    </row>
    <row r="447" spans="1:16" ht="13.5" thickBot="1">
      <c r="C447" s="772" t="s">
        <v>477</v>
      </c>
      <c r="D447" s="773" t="s">
        <v>478</v>
      </c>
      <c r="E447" s="772" t="s">
        <v>371</v>
      </c>
      <c r="F447" s="773" t="s">
        <v>478</v>
      </c>
      <c r="G447" s="773" t="s">
        <v>478</v>
      </c>
      <c r="H447" s="774" t="s">
        <v>103</v>
      </c>
      <c r="I447" s="775" t="s">
        <v>105</v>
      </c>
      <c r="J447" s="776" t="s">
        <v>17</v>
      </c>
      <c r="K447" s="777"/>
      <c r="L447" s="774" t="s">
        <v>92</v>
      </c>
      <c r="M447" s="774" t="s">
        <v>92</v>
      </c>
      <c r="N447" s="774" t="s">
        <v>265</v>
      </c>
      <c r="O447" s="774" t="s">
        <v>265</v>
      </c>
      <c r="P447" s="774" t="s">
        <v>265</v>
      </c>
    </row>
    <row r="448" spans="1:16">
      <c r="C448" s="779">
        <f>IF(D442= "","-",D442)</f>
        <v>2016</v>
      </c>
      <c r="D448" s="727">
        <f>+D441</f>
        <v>99133366.299999997</v>
      </c>
      <c r="E448" s="785">
        <f>+J445/12*(12-D443)</f>
        <v>1376852.3097222222</v>
      </c>
      <c r="F448" s="834">
        <f t="shared" ref="F448:F507" si="35">+D448-E448</f>
        <v>97756513.990277782</v>
      </c>
      <c r="G448" s="727">
        <f>+(D448+F448)/2</f>
        <v>98444940.14513889</v>
      </c>
      <c r="H448" s="781">
        <f>+J443*G448+E448</f>
        <v>12684421.133406412</v>
      </c>
      <c r="I448" s="782">
        <f>+J444*G448+E448</f>
        <v>12684421.133406412</v>
      </c>
      <c r="J448" s="783">
        <f>+I448-H448</f>
        <v>0</v>
      </c>
      <c r="K448" s="783"/>
      <c r="L448" s="1303">
        <v>8211582</v>
      </c>
      <c r="M448" s="835">
        <f t="shared" ref="M448:M507" si="36">IF(L448&lt;&gt;0,+H448-L448,0)</f>
        <v>4472839.1334064119</v>
      </c>
      <c r="N448" s="1303">
        <v>8211582</v>
      </c>
      <c r="O448" s="835">
        <f t="shared" ref="O448:O507" si="37">IF(N448&lt;&gt;0,+I448-N448,0)</f>
        <v>4472839.1334064119</v>
      </c>
      <c r="P448" s="835">
        <f t="shared" ref="P448:P507" si="38">+O448-M448</f>
        <v>0</v>
      </c>
    </row>
    <row r="449" spans="3:16">
      <c r="C449" s="779">
        <f>IF(D442="","-",+C448+1)</f>
        <v>2017</v>
      </c>
      <c r="D449" s="727">
        <f t="shared" ref="D449:D501" si="39">F448</f>
        <v>97756513.990277782</v>
      </c>
      <c r="E449" s="780">
        <f>IF(D449&gt;$J$445,$J$445,D449)</f>
        <v>2753704.6194444443</v>
      </c>
      <c r="F449" s="780">
        <f t="shared" si="35"/>
        <v>95002809.370833337</v>
      </c>
      <c r="G449" s="727">
        <f t="shared" ref="G449:G507" si="40">+(D449+F449)/2</f>
        <v>96379661.680555552</v>
      </c>
      <c r="H449" s="785">
        <f>+J443*G449+E449</f>
        <v>13824051.71955484</v>
      </c>
      <c r="I449" s="786">
        <f>+J444*G449+E449</f>
        <v>13824051.71955484</v>
      </c>
      <c r="J449" s="783">
        <f>+I449-H449</f>
        <v>0</v>
      </c>
      <c r="K449" s="783"/>
      <c r="L449" s="1304">
        <v>9400319</v>
      </c>
      <c r="M449" s="783">
        <f t="shared" si="36"/>
        <v>4423732.7195548397</v>
      </c>
      <c r="N449" s="1304">
        <v>9400319</v>
      </c>
      <c r="O449" s="783">
        <f t="shared" si="37"/>
        <v>4423732.7195548397</v>
      </c>
      <c r="P449" s="783">
        <f t="shared" si="38"/>
        <v>0</v>
      </c>
    </row>
    <row r="450" spans="3:16">
      <c r="C450" s="779">
        <f>IF(D442="","-",+C449+1)</f>
        <v>2018</v>
      </c>
      <c r="D450" s="1393">
        <f t="shared" si="39"/>
        <v>95002809.370833337</v>
      </c>
      <c r="E450" s="780">
        <f t="shared" ref="E450:E507" si="41">IF(D450&gt;$J$445,$J$445,D450)</f>
        <v>2753704.6194444443</v>
      </c>
      <c r="F450" s="780">
        <f t="shared" si="35"/>
        <v>92249104.751388893</v>
      </c>
      <c r="G450" s="727">
        <f t="shared" si="40"/>
        <v>93625957.061111122</v>
      </c>
      <c r="H450" s="785">
        <f>+J443*G450+E450</f>
        <v>13507756.088123115</v>
      </c>
      <c r="I450" s="786">
        <f>+J444*G450+E450</f>
        <v>13507756.088123115</v>
      </c>
      <c r="J450" s="783">
        <f t="shared" ref="J450:J507" si="42">+I450-H450</f>
        <v>0</v>
      </c>
      <c r="K450" s="783"/>
      <c r="L450" s="1304">
        <v>11231831</v>
      </c>
      <c r="M450" s="783">
        <f t="shared" si="36"/>
        <v>2275925.0881231148</v>
      </c>
      <c r="N450" s="1304">
        <v>11231831</v>
      </c>
      <c r="O450" s="783">
        <f t="shared" si="37"/>
        <v>2275925.0881231148</v>
      </c>
      <c r="P450" s="783">
        <f t="shared" si="38"/>
        <v>0</v>
      </c>
    </row>
    <row r="451" spans="3:16">
      <c r="C451" s="779">
        <f>IF(D442="","-",+C450+1)</f>
        <v>2019</v>
      </c>
      <c r="D451" s="727">
        <f t="shared" si="39"/>
        <v>92249104.751388893</v>
      </c>
      <c r="E451" s="780">
        <f t="shared" si="41"/>
        <v>2753704.6194444443</v>
      </c>
      <c r="F451" s="780">
        <f t="shared" si="35"/>
        <v>89495400.131944448</v>
      </c>
      <c r="G451" s="727">
        <f t="shared" si="40"/>
        <v>90872252.441666663</v>
      </c>
      <c r="H451" s="785">
        <f>+J443*G451+E451</f>
        <v>13191460.456691388</v>
      </c>
      <c r="I451" s="786">
        <f>+J444*G451+E451</f>
        <v>13191460.456691388</v>
      </c>
      <c r="J451" s="783">
        <f t="shared" si="42"/>
        <v>0</v>
      </c>
      <c r="K451" s="783"/>
      <c r="L451" s="1304">
        <v>11864825</v>
      </c>
      <c r="M451" s="783">
        <f t="shared" si="36"/>
        <v>1326635.456691388</v>
      </c>
      <c r="N451" s="1304">
        <v>11864825</v>
      </c>
      <c r="O451" s="783">
        <f t="shared" si="37"/>
        <v>1326635.456691388</v>
      </c>
      <c r="P451" s="783">
        <f t="shared" si="38"/>
        <v>0</v>
      </c>
    </row>
    <row r="452" spans="3:16">
      <c r="C452" s="779">
        <f>IF(D442="","-",+C451+1)</f>
        <v>2020</v>
      </c>
      <c r="D452" s="1323">
        <f t="shared" si="39"/>
        <v>89495400.131944448</v>
      </c>
      <c r="E452" s="780">
        <f t="shared" si="41"/>
        <v>2753704.6194444443</v>
      </c>
      <c r="F452" s="780">
        <f t="shared" si="35"/>
        <v>86741695.512500003</v>
      </c>
      <c r="G452" s="727">
        <f t="shared" si="40"/>
        <v>88118547.822222233</v>
      </c>
      <c r="H452" s="785">
        <f>+J443*G452+E452</f>
        <v>12875164.825259663</v>
      </c>
      <c r="I452" s="786">
        <f>+J444*G452+E452</f>
        <v>12875164.825259663</v>
      </c>
      <c r="J452" s="783">
        <f t="shared" si="42"/>
        <v>0</v>
      </c>
      <c r="K452" s="783"/>
      <c r="L452" s="1304">
        <v>12033066.013124375</v>
      </c>
      <c r="M452" s="783">
        <f t="shared" si="36"/>
        <v>842098.81213528849</v>
      </c>
      <c r="N452" s="1304">
        <v>12033066.013124375</v>
      </c>
      <c r="O452" s="783">
        <f t="shared" si="37"/>
        <v>842098.81213528849</v>
      </c>
      <c r="P452" s="783">
        <f t="shared" si="38"/>
        <v>0</v>
      </c>
    </row>
    <row r="453" spans="3:16">
      <c r="C453" s="779">
        <f>IF(D442="","-",+C452+1)</f>
        <v>2021</v>
      </c>
      <c r="D453" s="1323">
        <f t="shared" si="39"/>
        <v>86741695.512500003</v>
      </c>
      <c r="E453" s="780">
        <f t="shared" si="41"/>
        <v>2753704.6194444443</v>
      </c>
      <c r="F453" s="780">
        <f t="shared" si="35"/>
        <v>83987990.893055558</v>
      </c>
      <c r="G453" s="727">
        <f t="shared" si="40"/>
        <v>85364843.202777773</v>
      </c>
      <c r="H453" s="785">
        <f>+J443*G453+E453</f>
        <v>12558869.193827936</v>
      </c>
      <c r="I453" s="786">
        <f>+J444*G453+E453</f>
        <v>12558869.193827936</v>
      </c>
      <c r="J453" s="783">
        <f t="shared" si="42"/>
        <v>0</v>
      </c>
      <c r="K453" s="783"/>
      <c r="L453" s="1304">
        <v>11936440.649508858</v>
      </c>
      <c r="M453" s="783">
        <f t="shared" si="36"/>
        <v>622428.54431907833</v>
      </c>
      <c r="N453" s="1304">
        <v>11936440.649508858</v>
      </c>
      <c r="O453" s="783">
        <f t="shared" si="37"/>
        <v>622428.54431907833</v>
      </c>
      <c r="P453" s="783">
        <f t="shared" si="38"/>
        <v>0</v>
      </c>
    </row>
    <row r="454" spans="3:16">
      <c r="C454" s="779">
        <f>IF(D442="","-",+C453+1)</f>
        <v>2022</v>
      </c>
      <c r="D454" s="1323">
        <f t="shared" si="39"/>
        <v>83987990.893055558</v>
      </c>
      <c r="E454" s="780">
        <f t="shared" si="41"/>
        <v>2753704.6194444443</v>
      </c>
      <c r="F454" s="780">
        <f t="shared" si="35"/>
        <v>81234286.273611113</v>
      </c>
      <c r="G454" s="727">
        <f t="shared" si="40"/>
        <v>82611138.583333343</v>
      </c>
      <c r="H454" s="785">
        <f>+J443*G454+E454</f>
        <v>12242573.562396213</v>
      </c>
      <c r="I454" s="786">
        <f>+J444*G454+E454</f>
        <v>12242573.562396213</v>
      </c>
      <c r="J454" s="783">
        <f t="shared" si="42"/>
        <v>0</v>
      </c>
      <c r="K454" s="783"/>
      <c r="L454" s="1304">
        <v>12166987.339047994</v>
      </c>
      <c r="M454" s="783">
        <f t="shared" si="36"/>
        <v>75586.223348218948</v>
      </c>
      <c r="N454" s="1304">
        <v>12166987.339047994</v>
      </c>
      <c r="O454" s="783">
        <f t="shared" si="37"/>
        <v>75586.223348218948</v>
      </c>
      <c r="P454" s="783">
        <f t="shared" si="38"/>
        <v>0</v>
      </c>
    </row>
    <row r="455" spans="3:16">
      <c r="C455" s="779">
        <f>IF(D442="","-",+C454+1)</f>
        <v>2023</v>
      </c>
      <c r="D455" s="727">
        <f t="shared" si="39"/>
        <v>81234286.273611113</v>
      </c>
      <c r="E455" s="780">
        <f t="shared" si="41"/>
        <v>2753704.6194444443</v>
      </c>
      <c r="F455" s="780">
        <f t="shared" si="35"/>
        <v>78480581.654166669</v>
      </c>
      <c r="G455" s="727">
        <f t="shared" si="40"/>
        <v>79857433.963888884</v>
      </c>
      <c r="H455" s="785">
        <f>+J443*G455+E455</f>
        <v>11926277.930964485</v>
      </c>
      <c r="I455" s="786">
        <f>+J444*G455+E455</f>
        <v>11926277.930964485</v>
      </c>
      <c r="J455" s="783">
        <f t="shared" si="42"/>
        <v>0</v>
      </c>
      <c r="K455" s="783"/>
      <c r="L455" s="1304"/>
      <c r="M455" s="783">
        <f t="shared" si="36"/>
        <v>0</v>
      </c>
      <c r="N455" s="1304"/>
      <c r="O455" s="783">
        <f t="shared" si="37"/>
        <v>0</v>
      </c>
      <c r="P455" s="783">
        <f t="shared" si="38"/>
        <v>0</v>
      </c>
    </row>
    <row r="456" spans="3:16">
      <c r="C456" s="779">
        <f>IF(D442="","-",+C455+1)</f>
        <v>2024</v>
      </c>
      <c r="D456" s="727">
        <f t="shared" si="39"/>
        <v>78480581.654166669</v>
      </c>
      <c r="E456" s="780">
        <f t="shared" si="41"/>
        <v>2753704.6194444443</v>
      </c>
      <c r="F456" s="780">
        <f t="shared" si="35"/>
        <v>75726877.034722224</v>
      </c>
      <c r="G456" s="727">
        <f t="shared" si="40"/>
        <v>77103729.344444454</v>
      </c>
      <c r="H456" s="785">
        <f>+J443*G456+E456</f>
        <v>11609982.299532762</v>
      </c>
      <c r="I456" s="786">
        <f>+J444*G456+E456</f>
        <v>11609982.299532762</v>
      </c>
      <c r="J456" s="783">
        <f t="shared" si="42"/>
        <v>0</v>
      </c>
      <c r="K456" s="783"/>
      <c r="L456" s="1304"/>
      <c r="M456" s="783">
        <f t="shared" si="36"/>
        <v>0</v>
      </c>
      <c r="N456" s="1304"/>
      <c r="O456" s="783">
        <f t="shared" si="37"/>
        <v>0</v>
      </c>
      <c r="P456" s="783">
        <f t="shared" si="38"/>
        <v>0</v>
      </c>
    </row>
    <row r="457" spans="3:16">
      <c r="C457" s="779">
        <f>IF(D442="","-",+C456+1)</f>
        <v>2025</v>
      </c>
      <c r="D457" s="727">
        <f t="shared" si="39"/>
        <v>75726877.034722224</v>
      </c>
      <c r="E457" s="780">
        <f t="shared" si="41"/>
        <v>2753704.6194444443</v>
      </c>
      <c r="F457" s="780">
        <f t="shared" si="35"/>
        <v>72973172.415277779</v>
      </c>
      <c r="G457" s="727">
        <f t="shared" si="40"/>
        <v>74350024.724999994</v>
      </c>
      <c r="H457" s="785">
        <f>+J443*G457+E457</f>
        <v>11293686.668101033</v>
      </c>
      <c r="I457" s="786">
        <f>+J444*G457+E457</f>
        <v>11293686.668101033</v>
      </c>
      <c r="J457" s="783">
        <f t="shared" si="42"/>
        <v>0</v>
      </c>
      <c r="K457" s="783"/>
      <c r="L457" s="1304"/>
      <c r="M457" s="783">
        <f t="shared" si="36"/>
        <v>0</v>
      </c>
      <c r="N457" s="1304"/>
      <c r="O457" s="783">
        <f t="shared" si="37"/>
        <v>0</v>
      </c>
      <c r="P457" s="783">
        <f t="shared" si="38"/>
        <v>0</v>
      </c>
    </row>
    <row r="458" spans="3:16">
      <c r="C458" s="779">
        <f>IF(D442="","-",+C457+1)</f>
        <v>2026</v>
      </c>
      <c r="D458" s="727">
        <f t="shared" si="39"/>
        <v>72973172.415277779</v>
      </c>
      <c r="E458" s="780">
        <f t="shared" si="41"/>
        <v>2753704.6194444443</v>
      </c>
      <c r="F458" s="780">
        <f t="shared" si="35"/>
        <v>70219467.795833334</v>
      </c>
      <c r="G458" s="727">
        <f t="shared" si="40"/>
        <v>71596320.105555564</v>
      </c>
      <c r="H458" s="785">
        <f>+J443*G458+E458</f>
        <v>10977391.03666931</v>
      </c>
      <c r="I458" s="786">
        <f>+J444*G458+E458</f>
        <v>10977391.03666931</v>
      </c>
      <c r="J458" s="783">
        <f t="shared" si="42"/>
        <v>0</v>
      </c>
      <c r="K458" s="783"/>
      <c r="L458" s="1304"/>
      <c r="M458" s="783">
        <f t="shared" si="36"/>
        <v>0</v>
      </c>
      <c r="N458" s="1304"/>
      <c r="O458" s="783">
        <f t="shared" si="37"/>
        <v>0</v>
      </c>
      <c r="P458" s="783">
        <f t="shared" si="38"/>
        <v>0</v>
      </c>
    </row>
    <row r="459" spans="3:16">
      <c r="C459" s="779">
        <f>IF(D442="","-",+C458+1)</f>
        <v>2027</v>
      </c>
      <c r="D459" s="727">
        <f t="shared" si="39"/>
        <v>70219467.795833334</v>
      </c>
      <c r="E459" s="780">
        <f t="shared" si="41"/>
        <v>2753704.6194444443</v>
      </c>
      <c r="F459" s="780">
        <f t="shared" si="35"/>
        <v>67465763.17638889</v>
      </c>
      <c r="G459" s="727">
        <f t="shared" si="40"/>
        <v>68842615.486111104</v>
      </c>
      <c r="H459" s="785">
        <f>+J443*G459+E459</f>
        <v>10661095.405237582</v>
      </c>
      <c r="I459" s="786">
        <f>+J444*G459+E459</f>
        <v>10661095.405237582</v>
      </c>
      <c r="J459" s="783">
        <f t="shared" si="42"/>
        <v>0</v>
      </c>
      <c r="K459" s="783"/>
      <c r="L459" s="1304"/>
      <c r="M459" s="783">
        <f t="shared" si="36"/>
        <v>0</v>
      </c>
      <c r="N459" s="1304"/>
      <c r="O459" s="783">
        <f t="shared" si="37"/>
        <v>0</v>
      </c>
      <c r="P459" s="783">
        <f t="shared" si="38"/>
        <v>0</v>
      </c>
    </row>
    <row r="460" spans="3:16">
      <c r="C460" s="779">
        <f>IF(D442="","-",+C459+1)</f>
        <v>2028</v>
      </c>
      <c r="D460" s="727">
        <f t="shared" si="39"/>
        <v>67465763.17638889</v>
      </c>
      <c r="E460" s="780">
        <f t="shared" si="41"/>
        <v>2753704.6194444443</v>
      </c>
      <c r="F460" s="780">
        <f t="shared" si="35"/>
        <v>64712058.556944445</v>
      </c>
      <c r="G460" s="727">
        <f t="shared" si="40"/>
        <v>66088910.866666667</v>
      </c>
      <c r="H460" s="785">
        <f>+J443*G460+E460</f>
        <v>10344799.773805859</v>
      </c>
      <c r="I460" s="786">
        <f>+J444*G460+E460</f>
        <v>10344799.773805859</v>
      </c>
      <c r="J460" s="783">
        <f t="shared" si="42"/>
        <v>0</v>
      </c>
      <c r="K460" s="783"/>
      <c r="L460" s="1304"/>
      <c r="M460" s="783">
        <f t="shared" si="36"/>
        <v>0</v>
      </c>
      <c r="N460" s="1304"/>
      <c r="O460" s="783">
        <f t="shared" si="37"/>
        <v>0</v>
      </c>
      <c r="P460" s="783">
        <f t="shared" si="38"/>
        <v>0</v>
      </c>
    </row>
    <row r="461" spans="3:16">
      <c r="C461" s="779">
        <f>IF(D442="","-",+C460+1)</f>
        <v>2029</v>
      </c>
      <c r="D461" s="727">
        <f t="shared" si="39"/>
        <v>64712058.556944445</v>
      </c>
      <c r="E461" s="780">
        <f t="shared" si="41"/>
        <v>2753704.6194444443</v>
      </c>
      <c r="F461" s="780">
        <f t="shared" si="35"/>
        <v>61958353.9375</v>
      </c>
      <c r="G461" s="727">
        <f t="shared" si="40"/>
        <v>63335206.247222222</v>
      </c>
      <c r="H461" s="785">
        <f>+J443*G461+E461</f>
        <v>10028504.142374132</v>
      </c>
      <c r="I461" s="786">
        <f>+J444*G461+E461</f>
        <v>10028504.142374132</v>
      </c>
      <c r="J461" s="783">
        <f t="shared" si="42"/>
        <v>0</v>
      </c>
      <c r="K461" s="783"/>
      <c r="L461" s="1304"/>
      <c r="M461" s="783">
        <f t="shared" si="36"/>
        <v>0</v>
      </c>
      <c r="N461" s="1304"/>
      <c r="O461" s="783">
        <f t="shared" si="37"/>
        <v>0</v>
      </c>
      <c r="P461" s="783">
        <f t="shared" si="38"/>
        <v>0</v>
      </c>
    </row>
    <row r="462" spans="3:16">
      <c r="C462" s="779">
        <f>IF(D442="","-",+C461+1)</f>
        <v>2030</v>
      </c>
      <c r="D462" s="727">
        <f t="shared" si="39"/>
        <v>61958353.9375</v>
      </c>
      <c r="E462" s="780">
        <f t="shared" si="41"/>
        <v>2753704.6194444443</v>
      </c>
      <c r="F462" s="780">
        <f t="shared" si="35"/>
        <v>59204649.318055555</v>
      </c>
      <c r="G462" s="727">
        <f t="shared" si="40"/>
        <v>60581501.627777778</v>
      </c>
      <c r="H462" s="785">
        <f>+J443*G462+E462</f>
        <v>9712208.510942407</v>
      </c>
      <c r="I462" s="786">
        <f>+J444*G462+E462</f>
        <v>9712208.510942407</v>
      </c>
      <c r="J462" s="783">
        <f t="shared" si="42"/>
        <v>0</v>
      </c>
      <c r="K462" s="783"/>
      <c r="L462" s="1304"/>
      <c r="M462" s="783">
        <f t="shared" si="36"/>
        <v>0</v>
      </c>
      <c r="N462" s="1304"/>
      <c r="O462" s="783">
        <f t="shared" si="37"/>
        <v>0</v>
      </c>
      <c r="P462" s="783">
        <f t="shared" si="38"/>
        <v>0</v>
      </c>
    </row>
    <row r="463" spans="3:16">
      <c r="C463" s="779">
        <f>IF(D442="","-",+C462+1)</f>
        <v>2031</v>
      </c>
      <c r="D463" s="727">
        <f t="shared" si="39"/>
        <v>59204649.318055555</v>
      </c>
      <c r="E463" s="780">
        <f t="shared" si="41"/>
        <v>2753704.6194444443</v>
      </c>
      <c r="F463" s="780">
        <f t="shared" si="35"/>
        <v>56450944.69861111</v>
      </c>
      <c r="G463" s="727">
        <f t="shared" si="40"/>
        <v>57827797.008333333</v>
      </c>
      <c r="H463" s="785">
        <f>+J443*G463+E463</f>
        <v>9395912.8795106802</v>
      </c>
      <c r="I463" s="786">
        <f>+J444*G463+E463</f>
        <v>9395912.8795106802</v>
      </c>
      <c r="J463" s="783">
        <f t="shared" si="42"/>
        <v>0</v>
      </c>
      <c r="K463" s="783"/>
      <c r="L463" s="1304"/>
      <c r="M463" s="783">
        <f t="shared" si="36"/>
        <v>0</v>
      </c>
      <c r="N463" s="1304"/>
      <c r="O463" s="783">
        <f t="shared" si="37"/>
        <v>0</v>
      </c>
      <c r="P463" s="783">
        <f t="shared" si="38"/>
        <v>0</v>
      </c>
    </row>
    <row r="464" spans="3:16">
      <c r="C464" s="779">
        <f>IF(D442="","-",+C463+1)</f>
        <v>2032</v>
      </c>
      <c r="D464" s="727">
        <f t="shared" si="39"/>
        <v>56450944.69861111</v>
      </c>
      <c r="E464" s="780">
        <f t="shared" si="41"/>
        <v>2753704.6194444443</v>
      </c>
      <c r="F464" s="780">
        <f t="shared" si="35"/>
        <v>53697240.079166666</v>
      </c>
      <c r="G464" s="727">
        <f t="shared" si="40"/>
        <v>55074092.388888888</v>
      </c>
      <c r="H464" s="785">
        <f>+J443*G464+E464</f>
        <v>9079617.2480789553</v>
      </c>
      <c r="I464" s="786">
        <f>+J444*G464+E464</f>
        <v>9079617.2480789553</v>
      </c>
      <c r="J464" s="783">
        <f t="shared" si="42"/>
        <v>0</v>
      </c>
      <c r="K464" s="783"/>
      <c r="L464" s="1304"/>
      <c r="M464" s="783">
        <f t="shared" si="36"/>
        <v>0</v>
      </c>
      <c r="N464" s="1304"/>
      <c r="O464" s="783">
        <f t="shared" si="37"/>
        <v>0</v>
      </c>
      <c r="P464" s="783">
        <f t="shared" si="38"/>
        <v>0</v>
      </c>
    </row>
    <row r="465" spans="3:16">
      <c r="C465" s="779">
        <f>IF(D442="","-",+C464+1)</f>
        <v>2033</v>
      </c>
      <c r="D465" s="727">
        <f t="shared" si="39"/>
        <v>53697240.079166666</v>
      </c>
      <c r="E465" s="780">
        <f t="shared" si="41"/>
        <v>2753704.6194444443</v>
      </c>
      <c r="F465" s="780">
        <f t="shared" si="35"/>
        <v>50943535.459722221</v>
      </c>
      <c r="G465" s="727">
        <f t="shared" si="40"/>
        <v>52320387.769444443</v>
      </c>
      <c r="H465" s="785">
        <f>+J443*G465+E465</f>
        <v>8763321.6166472305</v>
      </c>
      <c r="I465" s="786">
        <f>+J444*G465+E465</f>
        <v>8763321.6166472305</v>
      </c>
      <c r="J465" s="783">
        <f t="shared" si="42"/>
        <v>0</v>
      </c>
      <c r="K465" s="783"/>
      <c r="L465" s="1304"/>
      <c r="M465" s="783">
        <f t="shared" si="36"/>
        <v>0</v>
      </c>
      <c r="N465" s="1304"/>
      <c r="O465" s="783">
        <f t="shared" si="37"/>
        <v>0</v>
      </c>
      <c r="P465" s="783">
        <f t="shared" si="38"/>
        <v>0</v>
      </c>
    </row>
    <row r="466" spans="3:16">
      <c r="C466" s="779">
        <f>IF(D442="","-",+C465+1)</f>
        <v>2034</v>
      </c>
      <c r="D466" s="727">
        <f t="shared" si="39"/>
        <v>50943535.459722221</v>
      </c>
      <c r="E466" s="780">
        <f t="shared" si="41"/>
        <v>2753704.6194444443</v>
      </c>
      <c r="F466" s="780">
        <f t="shared" si="35"/>
        <v>48189830.840277776</v>
      </c>
      <c r="G466" s="727">
        <f t="shared" si="40"/>
        <v>49566683.149999999</v>
      </c>
      <c r="H466" s="785">
        <f>+J443*G466+E466</f>
        <v>8447025.9852155037</v>
      </c>
      <c r="I466" s="786">
        <f>+J444*G466+E466</f>
        <v>8447025.9852155037</v>
      </c>
      <c r="J466" s="783">
        <f t="shared" si="42"/>
        <v>0</v>
      </c>
      <c r="K466" s="783"/>
      <c r="L466" s="1304"/>
      <c r="M466" s="783">
        <f t="shared" si="36"/>
        <v>0</v>
      </c>
      <c r="N466" s="1304"/>
      <c r="O466" s="783">
        <f t="shared" si="37"/>
        <v>0</v>
      </c>
      <c r="P466" s="783">
        <f t="shared" si="38"/>
        <v>0</v>
      </c>
    </row>
    <row r="467" spans="3:16">
      <c r="C467" s="779">
        <f>IF(D442="","-",+C466+1)</f>
        <v>2035</v>
      </c>
      <c r="D467" s="727">
        <f t="shared" si="39"/>
        <v>48189830.840277776</v>
      </c>
      <c r="E467" s="780">
        <f t="shared" si="41"/>
        <v>2753704.6194444443</v>
      </c>
      <c r="F467" s="780">
        <f t="shared" si="35"/>
        <v>45436126.220833331</v>
      </c>
      <c r="G467" s="727">
        <f t="shared" si="40"/>
        <v>46812978.530555554</v>
      </c>
      <c r="H467" s="785">
        <f>+J443*G467+E467</f>
        <v>8130730.3537837788</v>
      </c>
      <c r="I467" s="786">
        <f>+J444*G467+E467</f>
        <v>8130730.3537837788</v>
      </c>
      <c r="J467" s="783">
        <f t="shared" si="42"/>
        <v>0</v>
      </c>
      <c r="K467" s="783"/>
      <c r="L467" s="1304"/>
      <c r="M467" s="783">
        <f t="shared" si="36"/>
        <v>0</v>
      </c>
      <c r="N467" s="1304"/>
      <c r="O467" s="783">
        <f t="shared" si="37"/>
        <v>0</v>
      </c>
      <c r="P467" s="783">
        <f t="shared" si="38"/>
        <v>0</v>
      </c>
    </row>
    <row r="468" spans="3:16">
      <c r="C468" s="779">
        <f>IF(D442="","-",+C467+1)</f>
        <v>2036</v>
      </c>
      <c r="D468" s="727">
        <f t="shared" si="39"/>
        <v>45436126.220833331</v>
      </c>
      <c r="E468" s="780">
        <f t="shared" si="41"/>
        <v>2753704.6194444443</v>
      </c>
      <c r="F468" s="780">
        <f t="shared" si="35"/>
        <v>42682421.601388887</v>
      </c>
      <c r="G468" s="727">
        <f t="shared" si="40"/>
        <v>44059273.911111109</v>
      </c>
      <c r="H468" s="785">
        <f>+J443*G468+E468</f>
        <v>7814434.7223520521</v>
      </c>
      <c r="I468" s="786">
        <f>+J444*G468+E468</f>
        <v>7814434.7223520521</v>
      </c>
      <c r="J468" s="783">
        <f t="shared" si="42"/>
        <v>0</v>
      </c>
      <c r="K468" s="783"/>
      <c r="L468" s="1304"/>
      <c r="M468" s="783">
        <f t="shared" si="36"/>
        <v>0</v>
      </c>
      <c r="N468" s="1304"/>
      <c r="O468" s="783">
        <f t="shared" si="37"/>
        <v>0</v>
      </c>
      <c r="P468" s="783">
        <f t="shared" si="38"/>
        <v>0</v>
      </c>
    </row>
    <row r="469" spans="3:16">
      <c r="C469" s="779">
        <f>IF(D442="","-",+C468+1)</f>
        <v>2037</v>
      </c>
      <c r="D469" s="727">
        <f t="shared" si="39"/>
        <v>42682421.601388887</v>
      </c>
      <c r="E469" s="780">
        <f t="shared" si="41"/>
        <v>2753704.6194444443</v>
      </c>
      <c r="F469" s="780">
        <f t="shared" si="35"/>
        <v>39928716.981944442</v>
      </c>
      <c r="G469" s="727">
        <f t="shared" si="40"/>
        <v>41305569.291666664</v>
      </c>
      <c r="H469" s="785">
        <f>+J443*G469+E469</f>
        <v>7498139.0909203272</v>
      </c>
      <c r="I469" s="786">
        <f>+J444*G469+E469</f>
        <v>7498139.0909203272</v>
      </c>
      <c r="J469" s="783">
        <f t="shared" si="42"/>
        <v>0</v>
      </c>
      <c r="K469" s="783"/>
      <c r="L469" s="1304"/>
      <c r="M469" s="783">
        <f t="shared" si="36"/>
        <v>0</v>
      </c>
      <c r="N469" s="1304"/>
      <c r="O469" s="783">
        <f t="shared" si="37"/>
        <v>0</v>
      </c>
      <c r="P469" s="783">
        <f t="shared" si="38"/>
        <v>0</v>
      </c>
    </row>
    <row r="470" spans="3:16">
      <c r="C470" s="779">
        <f>IF(D442="","-",+C469+1)</f>
        <v>2038</v>
      </c>
      <c r="D470" s="727">
        <f t="shared" si="39"/>
        <v>39928716.981944442</v>
      </c>
      <c r="E470" s="780">
        <f t="shared" si="41"/>
        <v>2753704.6194444443</v>
      </c>
      <c r="F470" s="780">
        <f t="shared" si="35"/>
        <v>37175012.362499997</v>
      </c>
      <c r="G470" s="727">
        <f t="shared" si="40"/>
        <v>38551864.672222219</v>
      </c>
      <c r="H470" s="785">
        <f>+J443*G470+E470</f>
        <v>7181843.4594886024</v>
      </c>
      <c r="I470" s="786">
        <f>+J444*G470+E470</f>
        <v>7181843.4594886024</v>
      </c>
      <c r="J470" s="783">
        <f t="shared" si="42"/>
        <v>0</v>
      </c>
      <c r="K470" s="783"/>
      <c r="L470" s="1304"/>
      <c r="M470" s="783">
        <f t="shared" si="36"/>
        <v>0</v>
      </c>
      <c r="N470" s="1304"/>
      <c r="O470" s="783">
        <f t="shared" si="37"/>
        <v>0</v>
      </c>
      <c r="P470" s="783">
        <f t="shared" si="38"/>
        <v>0</v>
      </c>
    </row>
    <row r="471" spans="3:16">
      <c r="C471" s="779">
        <f>IF(D442="","-",+C470+1)</f>
        <v>2039</v>
      </c>
      <c r="D471" s="727">
        <f t="shared" si="39"/>
        <v>37175012.362499997</v>
      </c>
      <c r="E471" s="780">
        <f t="shared" si="41"/>
        <v>2753704.6194444443</v>
      </c>
      <c r="F471" s="780">
        <f t="shared" si="35"/>
        <v>34421307.743055552</v>
      </c>
      <c r="G471" s="727">
        <f t="shared" si="40"/>
        <v>35798160.052777775</v>
      </c>
      <c r="H471" s="785">
        <f>+J443*G471+E471</f>
        <v>6865547.8280568756</v>
      </c>
      <c r="I471" s="786">
        <f>+J444*G471+E471</f>
        <v>6865547.8280568756</v>
      </c>
      <c r="J471" s="783">
        <f t="shared" si="42"/>
        <v>0</v>
      </c>
      <c r="K471" s="783"/>
      <c r="L471" s="1304"/>
      <c r="M471" s="783">
        <f t="shared" si="36"/>
        <v>0</v>
      </c>
      <c r="N471" s="1304"/>
      <c r="O471" s="783">
        <f t="shared" si="37"/>
        <v>0</v>
      </c>
      <c r="P471" s="783">
        <f t="shared" si="38"/>
        <v>0</v>
      </c>
    </row>
    <row r="472" spans="3:16">
      <c r="C472" s="779">
        <f>IF(D442="","-",+C471+1)</f>
        <v>2040</v>
      </c>
      <c r="D472" s="727">
        <f t="shared" si="39"/>
        <v>34421307.743055552</v>
      </c>
      <c r="E472" s="780">
        <f t="shared" si="41"/>
        <v>2753704.6194444443</v>
      </c>
      <c r="F472" s="780">
        <f t="shared" si="35"/>
        <v>31667603.123611107</v>
      </c>
      <c r="G472" s="727">
        <f t="shared" si="40"/>
        <v>33044455.43333333</v>
      </c>
      <c r="H472" s="785">
        <f>+J443*G472+E472</f>
        <v>6549252.1966251507</v>
      </c>
      <c r="I472" s="786">
        <f>+J444*G472+E472</f>
        <v>6549252.1966251507</v>
      </c>
      <c r="J472" s="783">
        <f t="shared" si="42"/>
        <v>0</v>
      </c>
      <c r="K472" s="783"/>
      <c r="L472" s="1304"/>
      <c r="M472" s="783">
        <f t="shared" si="36"/>
        <v>0</v>
      </c>
      <c r="N472" s="1304"/>
      <c r="O472" s="783">
        <f t="shared" si="37"/>
        <v>0</v>
      </c>
      <c r="P472" s="783">
        <f t="shared" si="38"/>
        <v>0</v>
      </c>
    </row>
    <row r="473" spans="3:16">
      <c r="C473" s="779">
        <f>IF(D442="","-",+C472+1)</f>
        <v>2041</v>
      </c>
      <c r="D473" s="727">
        <f t="shared" si="39"/>
        <v>31667603.123611107</v>
      </c>
      <c r="E473" s="780">
        <f t="shared" si="41"/>
        <v>2753704.6194444443</v>
      </c>
      <c r="F473" s="780">
        <f t="shared" si="35"/>
        <v>28913898.504166663</v>
      </c>
      <c r="G473" s="727">
        <f t="shared" si="40"/>
        <v>30290750.813888885</v>
      </c>
      <c r="H473" s="785">
        <f>+J443*G473+E473</f>
        <v>6232956.5651934249</v>
      </c>
      <c r="I473" s="786">
        <f>+J444*G473+E473</f>
        <v>6232956.5651934249</v>
      </c>
      <c r="J473" s="783">
        <f t="shared" si="42"/>
        <v>0</v>
      </c>
      <c r="K473" s="783"/>
      <c r="L473" s="1304"/>
      <c r="M473" s="783">
        <f t="shared" si="36"/>
        <v>0</v>
      </c>
      <c r="N473" s="1304"/>
      <c r="O473" s="783">
        <f t="shared" si="37"/>
        <v>0</v>
      </c>
      <c r="P473" s="783">
        <f t="shared" si="38"/>
        <v>0</v>
      </c>
    </row>
    <row r="474" spans="3:16">
      <c r="C474" s="779">
        <f>IF(D442="","-",+C473+1)</f>
        <v>2042</v>
      </c>
      <c r="D474" s="727">
        <f t="shared" si="39"/>
        <v>28913898.504166663</v>
      </c>
      <c r="E474" s="780">
        <f t="shared" si="41"/>
        <v>2753704.6194444443</v>
      </c>
      <c r="F474" s="780">
        <f t="shared" si="35"/>
        <v>26160193.884722218</v>
      </c>
      <c r="G474" s="727">
        <f t="shared" si="40"/>
        <v>27537046.19444444</v>
      </c>
      <c r="H474" s="785">
        <f>+J443*G474+E474</f>
        <v>5916660.9337616991</v>
      </c>
      <c r="I474" s="786">
        <f>+J444*G474+E474</f>
        <v>5916660.9337616991</v>
      </c>
      <c r="J474" s="783">
        <f t="shared" si="42"/>
        <v>0</v>
      </c>
      <c r="K474" s="783"/>
      <c r="L474" s="1304"/>
      <c r="M474" s="783">
        <f t="shared" si="36"/>
        <v>0</v>
      </c>
      <c r="N474" s="1304"/>
      <c r="O474" s="783">
        <f t="shared" si="37"/>
        <v>0</v>
      </c>
      <c r="P474" s="783">
        <f t="shared" si="38"/>
        <v>0</v>
      </c>
    </row>
    <row r="475" spans="3:16">
      <c r="C475" s="779">
        <f>IF(D442="","-",+C474+1)</f>
        <v>2043</v>
      </c>
      <c r="D475" s="727">
        <f t="shared" si="39"/>
        <v>26160193.884722218</v>
      </c>
      <c r="E475" s="780">
        <f t="shared" si="41"/>
        <v>2753704.6194444443</v>
      </c>
      <c r="F475" s="780">
        <f t="shared" si="35"/>
        <v>23406489.265277773</v>
      </c>
      <c r="G475" s="727">
        <f t="shared" si="40"/>
        <v>24783341.574999996</v>
      </c>
      <c r="H475" s="785">
        <f>+J443*G475+E475</f>
        <v>5600365.3023299742</v>
      </c>
      <c r="I475" s="786">
        <f>+J444*G475+E475</f>
        <v>5600365.3023299742</v>
      </c>
      <c r="J475" s="783">
        <f t="shared" si="42"/>
        <v>0</v>
      </c>
      <c r="K475" s="783"/>
      <c r="L475" s="1304"/>
      <c r="M475" s="783">
        <f t="shared" si="36"/>
        <v>0</v>
      </c>
      <c r="N475" s="1304"/>
      <c r="O475" s="783">
        <f t="shared" si="37"/>
        <v>0</v>
      </c>
      <c r="P475" s="783">
        <f t="shared" si="38"/>
        <v>0</v>
      </c>
    </row>
    <row r="476" spans="3:16">
      <c r="C476" s="779">
        <f>IF(D442="","-",+C475+1)</f>
        <v>2044</v>
      </c>
      <c r="D476" s="727">
        <f t="shared" si="39"/>
        <v>23406489.265277773</v>
      </c>
      <c r="E476" s="780">
        <f t="shared" si="41"/>
        <v>2753704.6194444443</v>
      </c>
      <c r="F476" s="780">
        <f t="shared" si="35"/>
        <v>20652784.645833328</v>
      </c>
      <c r="G476" s="727">
        <f t="shared" si="40"/>
        <v>22029636.955555551</v>
      </c>
      <c r="H476" s="785">
        <f>+J443*G476+E476</f>
        <v>5284069.6708982475</v>
      </c>
      <c r="I476" s="786">
        <f>+J444*G476+E476</f>
        <v>5284069.6708982475</v>
      </c>
      <c r="J476" s="783">
        <f t="shared" si="42"/>
        <v>0</v>
      </c>
      <c r="K476" s="783"/>
      <c r="L476" s="1304"/>
      <c r="M476" s="783">
        <f t="shared" si="36"/>
        <v>0</v>
      </c>
      <c r="N476" s="1304"/>
      <c r="O476" s="783">
        <f t="shared" si="37"/>
        <v>0</v>
      </c>
      <c r="P476" s="783">
        <f t="shared" si="38"/>
        <v>0</v>
      </c>
    </row>
    <row r="477" spans="3:16">
      <c r="C477" s="779">
        <f>IF(D442="","-",+C476+1)</f>
        <v>2045</v>
      </c>
      <c r="D477" s="727">
        <f t="shared" si="39"/>
        <v>20652784.645833328</v>
      </c>
      <c r="E477" s="780">
        <f t="shared" si="41"/>
        <v>2753704.6194444443</v>
      </c>
      <c r="F477" s="780">
        <f t="shared" si="35"/>
        <v>17899080.026388884</v>
      </c>
      <c r="G477" s="727">
        <f t="shared" si="40"/>
        <v>19275932.336111106</v>
      </c>
      <c r="H477" s="785">
        <f>+J443*G477+E477</f>
        <v>4967774.0394665226</v>
      </c>
      <c r="I477" s="786">
        <f>+J444*G477+E477</f>
        <v>4967774.0394665226</v>
      </c>
      <c r="J477" s="783">
        <f t="shared" si="42"/>
        <v>0</v>
      </c>
      <c r="K477" s="783"/>
      <c r="L477" s="1304"/>
      <c r="M477" s="783">
        <f t="shared" si="36"/>
        <v>0</v>
      </c>
      <c r="N477" s="1304"/>
      <c r="O477" s="783">
        <f t="shared" si="37"/>
        <v>0</v>
      </c>
      <c r="P477" s="783">
        <f t="shared" si="38"/>
        <v>0</v>
      </c>
    </row>
    <row r="478" spans="3:16">
      <c r="C478" s="779">
        <f>IF(D442="","-",+C477+1)</f>
        <v>2046</v>
      </c>
      <c r="D478" s="727">
        <f t="shared" si="39"/>
        <v>17899080.026388884</v>
      </c>
      <c r="E478" s="780">
        <f t="shared" si="41"/>
        <v>2753704.6194444443</v>
      </c>
      <c r="F478" s="780">
        <f t="shared" si="35"/>
        <v>15145375.406944439</v>
      </c>
      <c r="G478" s="727">
        <f t="shared" si="40"/>
        <v>16522227.716666661</v>
      </c>
      <c r="H478" s="785">
        <f>+J443*G478+E478</f>
        <v>4651478.4080347968</v>
      </c>
      <c r="I478" s="786">
        <f>+J444*G478+E478</f>
        <v>4651478.4080347968</v>
      </c>
      <c r="J478" s="783">
        <f t="shared" si="42"/>
        <v>0</v>
      </c>
      <c r="K478" s="783"/>
      <c r="L478" s="1304"/>
      <c r="M478" s="783">
        <f t="shared" si="36"/>
        <v>0</v>
      </c>
      <c r="N478" s="1304"/>
      <c r="O478" s="783">
        <f t="shared" si="37"/>
        <v>0</v>
      </c>
      <c r="P478" s="783">
        <f t="shared" si="38"/>
        <v>0</v>
      </c>
    </row>
    <row r="479" spans="3:16">
      <c r="C479" s="779">
        <f>IF(D442="","-",+C478+1)</f>
        <v>2047</v>
      </c>
      <c r="D479" s="727">
        <f t="shared" si="39"/>
        <v>15145375.406944439</v>
      </c>
      <c r="E479" s="780">
        <f t="shared" si="41"/>
        <v>2753704.6194444443</v>
      </c>
      <c r="F479" s="780">
        <f t="shared" si="35"/>
        <v>12391670.787499994</v>
      </c>
      <c r="G479" s="727">
        <f t="shared" si="40"/>
        <v>13768523.097222216</v>
      </c>
      <c r="H479" s="785">
        <f>+J443*G479+E479</f>
        <v>4335182.776603071</v>
      </c>
      <c r="I479" s="786">
        <f>+J444*G479+E479</f>
        <v>4335182.776603071</v>
      </c>
      <c r="J479" s="783">
        <f t="shared" si="42"/>
        <v>0</v>
      </c>
      <c r="K479" s="783"/>
      <c r="L479" s="1304"/>
      <c r="M479" s="783">
        <f t="shared" si="36"/>
        <v>0</v>
      </c>
      <c r="N479" s="1304"/>
      <c r="O479" s="783">
        <f t="shared" si="37"/>
        <v>0</v>
      </c>
      <c r="P479" s="783">
        <f t="shared" si="38"/>
        <v>0</v>
      </c>
    </row>
    <row r="480" spans="3:16">
      <c r="C480" s="779">
        <f>IF(D442="","-",+C479+1)</f>
        <v>2048</v>
      </c>
      <c r="D480" s="727">
        <f t="shared" si="39"/>
        <v>12391670.787499994</v>
      </c>
      <c r="E480" s="780">
        <f t="shared" si="41"/>
        <v>2753704.6194444443</v>
      </c>
      <c r="F480" s="780">
        <f t="shared" si="35"/>
        <v>9637966.1680555493</v>
      </c>
      <c r="G480" s="727">
        <f t="shared" si="40"/>
        <v>11014818.477777772</v>
      </c>
      <c r="H480" s="785">
        <f>+J443*G480+E480</f>
        <v>4018887.1451713461</v>
      </c>
      <c r="I480" s="786">
        <f>+J444*G480+E480</f>
        <v>4018887.1451713461</v>
      </c>
      <c r="J480" s="783">
        <f t="shared" si="42"/>
        <v>0</v>
      </c>
      <c r="K480" s="783"/>
      <c r="L480" s="1304"/>
      <c r="M480" s="783">
        <f t="shared" si="36"/>
        <v>0</v>
      </c>
      <c r="N480" s="1304"/>
      <c r="O480" s="783">
        <f t="shared" si="37"/>
        <v>0</v>
      </c>
      <c r="P480" s="783">
        <f t="shared" si="38"/>
        <v>0</v>
      </c>
    </row>
    <row r="481" spans="3:16">
      <c r="C481" s="779">
        <f>IF(D442="","-",+C480+1)</f>
        <v>2049</v>
      </c>
      <c r="D481" s="727">
        <f t="shared" si="39"/>
        <v>9637966.1680555493</v>
      </c>
      <c r="E481" s="780">
        <f t="shared" si="41"/>
        <v>2753704.6194444443</v>
      </c>
      <c r="F481" s="780">
        <f t="shared" si="35"/>
        <v>6884261.5486111045</v>
      </c>
      <c r="G481" s="727">
        <f t="shared" si="40"/>
        <v>8261113.8583333269</v>
      </c>
      <c r="H481" s="785">
        <f>+J443*G481+E481</f>
        <v>3702591.5137396203</v>
      </c>
      <c r="I481" s="786">
        <f>+J444*G481+E481</f>
        <v>3702591.5137396203</v>
      </c>
      <c r="J481" s="783">
        <f t="shared" si="42"/>
        <v>0</v>
      </c>
      <c r="K481" s="783"/>
      <c r="L481" s="1304"/>
      <c r="M481" s="783">
        <f t="shared" si="36"/>
        <v>0</v>
      </c>
      <c r="N481" s="1304"/>
      <c r="O481" s="783">
        <f t="shared" si="37"/>
        <v>0</v>
      </c>
      <c r="P481" s="783">
        <f t="shared" si="38"/>
        <v>0</v>
      </c>
    </row>
    <row r="482" spans="3:16">
      <c r="C482" s="779">
        <f>IF(D442="","-",+C481+1)</f>
        <v>2050</v>
      </c>
      <c r="D482" s="727">
        <f t="shared" si="39"/>
        <v>6884261.5486111045</v>
      </c>
      <c r="E482" s="780">
        <f t="shared" si="41"/>
        <v>2753704.6194444443</v>
      </c>
      <c r="F482" s="780">
        <f t="shared" si="35"/>
        <v>4130556.9291666602</v>
      </c>
      <c r="G482" s="727">
        <f t="shared" si="40"/>
        <v>5507409.2388888821</v>
      </c>
      <c r="H482" s="785">
        <f>+J443*G482+E482</f>
        <v>3386295.8823078945</v>
      </c>
      <c r="I482" s="786">
        <f>+J444*G482+E482</f>
        <v>3386295.8823078945</v>
      </c>
      <c r="J482" s="783">
        <f t="shared" si="42"/>
        <v>0</v>
      </c>
      <c r="K482" s="783"/>
      <c r="L482" s="1304"/>
      <c r="M482" s="783">
        <f t="shared" si="36"/>
        <v>0</v>
      </c>
      <c r="N482" s="1304"/>
      <c r="O482" s="783">
        <f t="shared" si="37"/>
        <v>0</v>
      </c>
      <c r="P482" s="783">
        <f t="shared" si="38"/>
        <v>0</v>
      </c>
    </row>
    <row r="483" spans="3:16">
      <c r="C483" s="779">
        <f>IF(D442="","-",+C482+1)</f>
        <v>2051</v>
      </c>
      <c r="D483" s="727">
        <f t="shared" si="39"/>
        <v>4130556.9291666602</v>
      </c>
      <c r="E483" s="780">
        <f t="shared" si="41"/>
        <v>2753704.6194444443</v>
      </c>
      <c r="F483" s="780">
        <f t="shared" si="35"/>
        <v>1376852.3097222159</v>
      </c>
      <c r="G483" s="727">
        <f t="shared" si="40"/>
        <v>2753704.6194444383</v>
      </c>
      <c r="H483" s="785">
        <f>+J443*G483+E483</f>
        <v>3070000.2508761692</v>
      </c>
      <c r="I483" s="786">
        <f>+J444*G483+E483</f>
        <v>3070000.2508761692</v>
      </c>
      <c r="J483" s="783">
        <f t="shared" si="42"/>
        <v>0</v>
      </c>
      <c r="K483" s="783"/>
      <c r="L483" s="1304"/>
      <c r="M483" s="783">
        <f t="shared" si="36"/>
        <v>0</v>
      </c>
      <c r="N483" s="1304"/>
      <c r="O483" s="783">
        <f t="shared" si="37"/>
        <v>0</v>
      </c>
      <c r="P483" s="783">
        <f t="shared" si="38"/>
        <v>0</v>
      </c>
    </row>
    <row r="484" spans="3:16">
      <c r="C484" s="779">
        <f>IF(D442="","-",+C483+1)</f>
        <v>2052</v>
      </c>
      <c r="D484" s="727">
        <f t="shared" si="39"/>
        <v>1376852.3097222159</v>
      </c>
      <c r="E484" s="780">
        <f t="shared" si="41"/>
        <v>1376852.3097222159</v>
      </c>
      <c r="F484" s="780">
        <f t="shared" si="35"/>
        <v>0</v>
      </c>
      <c r="G484" s="727">
        <f t="shared" si="40"/>
        <v>688426.15486110793</v>
      </c>
      <c r="H484" s="785">
        <f>+J443*G484+E484</f>
        <v>1455926.2175801469</v>
      </c>
      <c r="I484" s="786">
        <f>+J444*G484+E484</f>
        <v>1455926.2175801469</v>
      </c>
      <c r="J484" s="783">
        <f t="shared" si="42"/>
        <v>0</v>
      </c>
      <c r="K484" s="783"/>
      <c r="L484" s="1304"/>
      <c r="M484" s="783">
        <f t="shared" si="36"/>
        <v>0</v>
      </c>
      <c r="N484" s="1304"/>
      <c r="O484" s="783">
        <f t="shared" si="37"/>
        <v>0</v>
      </c>
      <c r="P484" s="783">
        <f t="shared" si="38"/>
        <v>0</v>
      </c>
    </row>
    <row r="485" spans="3:16">
      <c r="C485" s="779">
        <f>IF(D442="","-",+C484+1)</f>
        <v>2053</v>
      </c>
      <c r="D485" s="727">
        <f t="shared" si="39"/>
        <v>0</v>
      </c>
      <c r="E485" s="780">
        <f t="shared" si="41"/>
        <v>0</v>
      </c>
      <c r="F485" s="780">
        <f t="shared" si="35"/>
        <v>0</v>
      </c>
      <c r="G485" s="727">
        <f t="shared" si="40"/>
        <v>0</v>
      </c>
      <c r="H485" s="785">
        <f>+J443*G485+E485</f>
        <v>0</v>
      </c>
      <c r="I485" s="786">
        <f>+J444*G485+E485</f>
        <v>0</v>
      </c>
      <c r="J485" s="783">
        <f t="shared" si="42"/>
        <v>0</v>
      </c>
      <c r="K485" s="783"/>
      <c r="L485" s="1304"/>
      <c r="M485" s="783">
        <f t="shared" si="36"/>
        <v>0</v>
      </c>
      <c r="N485" s="1304"/>
      <c r="O485" s="783">
        <f t="shared" si="37"/>
        <v>0</v>
      </c>
      <c r="P485" s="783">
        <f t="shared" si="38"/>
        <v>0</v>
      </c>
    </row>
    <row r="486" spans="3:16">
      <c r="C486" s="779">
        <f>IF(D442="","-",+C485+1)</f>
        <v>2054</v>
      </c>
      <c r="D486" s="727">
        <f t="shared" si="39"/>
        <v>0</v>
      </c>
      <c r="E486" s="780">
        <f t="shared" si="41"/>
        <v>0</v>
      </c>
      <c r="F486" s="780">
        <f t="shared" si="35"/>
        <v>0</v>
      </c>
      <c r="G486" s="727">
        <f t="shared" si="40"/>
        <v>0</v>
      </c>
      <c r="H486" s="785">
        <f>+J443*G486+E486</f>
        <v>0</v>
      </c>
      <c r="I486" s="786">
        <f>+J444*G486+E486</f>
        <v>0</v>
      </c>
      <c r="J486" s="783">
        <f t="shared" si="42"/>
        <v>0</v>
      </c>
      <c r="K486" s="783"/>
      <c r="L486" s="1304"/>
      <c r="M486" s="783">
        <f t="shared" si="36"/>
        <v>0</v>
      </c>
      <c r="N486" s="1304"/>
      <c r="O486" s="783">
        <f t="shared" si="37"/>
        <v>0</v>
      </c>
      <c r="P486" s="783">
        <f t="shared" si="38"/>
        <v>0</v>
      </c>
    </row>
    <row r="487" spans="3:16">
      <c r="C487" s="779">
        <f>IF(D442="","-",+C486+1)</f>
        <v>2055</v>
      </c>
      <c r="D487" s="727">
        <f t="shared" si="39"/>
        <v>0</v>
      </c>
      <c r="E487" s="780">
        <f t="shared" si="41"/>
        <v>0</v>
      </c>
      <c r="F487" s="780">
        <f t="shared" si="35"/>
        <v>0</v>
      </c>
      <c r="G487" s="727">
        <f t="shared" si="40"/>
        <v>0</v>
      </c>
      <c r="H487" s="785">
        <f>+J443*G487+E487</f>
        <v>0</v>
      </c>
      <c r="I487" s="786">
        <f>+J444*G487+E487</f>
        <v>0</v>
      </c>
      <c r="J487" s="783">
        <f t="shared" si="42"/>
        <v>0</v>
      </c>
      <c r="K487" s="783"/>
      <c r="L487" s="1304"/>
      <c r="M487" s="783">
        <f t="shared" si="36"/>
        <v>0</v>
      </c>
      <c r="N487" s="1304"/>
      <c r="O487" s="783">
        <f t="shared" si="37"/>
        <v>0</v>
      </c>
      <c r="P487" s="783">
        <f t="shared" si="38"/>
        <v>0</v>
      </c>
    </row>
    <row r="488" spans="3:16">
      <c r="C488" s="779">
        <f>IF(D442="","-",+C487+1)</f>
        <v>2056</v>
      </c>
      <c r="D488" s="727">
        <f t="shared" si="39"/>
        <v>0</v>
      </c>
      <c r="E488" s="780">
        <f t="shared" si="41"/>
        <v>0</v>
      </c>
      <c r="F488" s="780">
        <f t="shared" si="35"/>
        <v>0</v>
      </c>
      <c r="G488" s="727">
        <f t="shared" si="40"/>
        <v>0</v>
      </c>
      <c r="H488" s="785">
        <f>+J443*G488+E488</f>
        <v>0</v>
      </c>
      <c r="I488" s="786">
        <f>+J444*G488+E488</f>
        <v>0</v>
      </c>
      <c r="J488" s="783">
        <f t="shared" si="42"/>
        <v>0</v>
      </c>
      <c r="K488" s="783"/>
      <c r="L488" s="1304"/>
      <c r="M488" s="783">
        <f t="shared" si="36"/>
        <v>0</v>
      </c>
      <c r="N488" s="1304"/>
      <c r="O488" s="783">
        <f t="shared" si="37"/>
        <v>0</v>
      </c>
      <c r="P488" s="783">
        <f t="shared" si="38"/>
        <v>0</v>
      </c>
    </row>
    <row r="489" spans="3:16">
      <c r="C489" s="779">
        <f>IF(D442="","-",+C488+1)</f>
        <v>2057</v>
      </c>
      <c r="D489" s="727">
        <f t="shared" si="39"/>
        <v>0</v>
      </c>
      <c r="E489" s="780">
        <f t="shared" si="41"/>
        <v>0</v>
      </c>
      <c r="F489" s="780">
        <f t="shared" si="35"/>
        <v>0</v>
      </c>
      <c r="G489" s="727">
        <f t="shared" si="40"/>
        <v>0</v>
      </c>
      <c r="H489" s="785">
        <f>+J443*G489+E489</f>
        <v>0</v>
      </c>
      <c r="I489" s="786">
        <f>+J444*G489+E489</f>
        <v>0</v>
      </c>
      <c r="J489" s="783">
        <f t="shared" si="42"/>
        <v>0</v>
      </c>
      <c r="K489" s="783"/>
      <c r="L489" s="1304"/>
      <c r="M489" s="783">
        <f t="shared" si="36"/>
        <v>0</v>
      </c>
      <c r="N489" s="1304"/>
      <c r="O489" s="783">
        <f t="shared" si="37"/>
        <v>0</v>
      </c>
      <c r="P489" s="783">
        <f t="shared" si="38"/>
        <v>0</v>
      </c>
    </row>
    <row r="490" spans="3:16">
      <c r="C490" s="779">
        <f>IF(D442="","-",+C489+1)</f>
        <v>2058</v>
      </c>
      <c r="D490" s="727">
        <f t="shared" si="39"/>
        <v>0</v>
      </c>
      <c r="E490" s="780">
        <f t="shared" si="41"/>
        <v>0</v>
      </c>
      <c r="F490" s="780">
        <f t="shared" si="35"/>
        <v>0</v>
      </c>
      <c r="G490" s="727">
        <f t="shared" si="40"/>
        <v>0</v>
      </c>
      <c r="H490" s="785">
        <f>+J443*G490+E490</f>
        <v>0</v>
      </c>
      <c r="I490" s="786">
        <f>+J444*G490+E490</f>
        <v>0</v>
      </c>
      <c r="J490" s="783">
        <f t="shared" si="42"/>
        <v>0</v>
      </c>
      <c r="K490" s="783"/>
      <c r="L490" s="1304"/>
      <c r="M490" s="783">
        <f t="shared" si="36"/>
        <v>0</v>
      </c>
      <c r="N490" s="1304"/>
      <c r="O490" s="783">
        <f t="shared" si="37"/>
        <v>0</v>
      </c>
      <c r="P490" s="783">
        <f t="shared" si="38"/>
        <v>0</v>
      </c>
    </row>
    <row r="491" spans="3:16">
      <c r="C491" s="779">
        <f>IF(D442="","-",+C490+1)</f>
        <v>2059</v>
      </c>
      <c r="D491" s="727">
        <f t="shared" si="39"/>
        <v>0</v>
      </c>
      <c r="E491" s="780">
        <f t="shared" si="41"/>
        <v>0</v>
      </c>
      <c r="F491" s="780">
        <f t="shared" si="35"/>
        <v>0</v>
      </c>
      <c r="G491" s="727">
        <f t="shared" si="40"/>
        <v>0</v>
      </c>
      <c r="H491" s="785">
        <f>+J443*G491+E491</f>
        <v>0</v>
      </c>
      <c r="I491" s="786">
        <f>+J444*G491+E491</f>
        <v>0</v>
      </c>
      <c r="J491" s="783">
        <f t="shared" si="42"/>
        <v>0</v>
      </c>
      <c r="K491" s="783"/>
      <c r="L491" s="1304"/>
      <c r="M491" s="783">
        <f t="shared" si="36"/>
        <v>0</v>
      </c>
      <c r="N491" s="1304"/>
      <c r="O491" s="783">
        <f t="shared" si="37"/>
        <v>0</v>
      </c>
      <c r="P491" s="783">
        <f t="shared" si="38"/>
        <v>0</v>
      </c>
    </row>
    <row r="492" spans="3:16">
      <c r="C492" s="779">
        <f>IF(D442="","-",+C491+1)</f>
        <v>2060</v>
      </c>
      <c r="D492" s="727">
        <f t="shared" si="39"/>
        <v>0</v>
      </c>
      <c r="E492" s="780">
        <f t="shared" si="41"/>
        <v>0</v>
      </c>
      <c r="F492" s="780">
        <f t="shared" si="35"/>
        <v>0</v>
      </c>
      <c r="G492" s="727">
        <f t="shared" si="40"/>
        <v>0</v>
      </c>
      <c r="H492" s="785">
        <f>+J443*G492+E492</f>
        <v>0</v>
      </c>
      <c r="I492" s="786">
        <f>+J444*G492+E492</f>
        <v>0</v>
      </c>
      <c r="J492" s="783">
        <f t="shared" si="42"/>
        <v>0</v>
      </c>
      <c r="K492" s="783"/>
      <c r="L492" s="1304"/>
      <c r="M492" s="783">
        <f t="shared" si="36"/>
        <v>0</v>
      </c>
      <c r="N492" s="1304"/>
      <c r="O492" s="783">
        <f t="shared" si="37"/>
        <v>0</v>
      </c>
      <c r="P492" s="783">
        <f t="shared" si="38"/>
        <v>0</v>
      </c>
    </row>
    <row r="493" spans="3:16">
      <c r="C493" s="779">
        <f>IF(D442="","-",+C492+1)</f>
        <v>2061</v>
      </c>
      <c r="D493" s="727">
        <f t="shared" si="39"/>
        <v>0</v>
      </c>
      <c r="E493" s="780">
        <f t="shared" si="41"/>
        <v>0</v>
      </c>
      <c r="F493" s="780">
        <f t="shared" si="35"/>
        <v>0</v>
      </c>
      <c r="G493" s="727">
        <f t="shared" si="40"/>
        <v>0</v>
      </c>
      <c r="H493" s="785">
        <f>+J443*G493+E493</f>
        <v>0</v>
      </c>
      <c r="I493" s="786">
        <f>+J444*G493+E493</f>
        <v>0</v>
      </c>
      <c r="J493" s="783">
        <f t="shared" si="42"/>
        <v>0</v>
      </c>
      <c r="K493" s="783"/>
      <c r="L493" s="1304"/>
      <c r="M493" s="783">
        <f t="shared" si="36"/>
        <v>0</v>
      </c>
      <c r="N493" s="1304"/>
      <c r="O493" s="783">
        <f t="shared" si="37"/>
        <v>0</v>
      </c>
      <c r="P493" s="783">
        <f t="shared" si="38"/>
        <v>0</v>
      </c>
    </row>
    <row r="494" spans="3:16">
      <c r="C494" s="779">
        <f>IF(D442="","-",+C493+1)</f>
        <v>2062</v>
      </c>
      <c r="D494" s="727">
        <f t="shared" si="39"/>
        <v>0</v>
      </c>
      <c r="E494" s="780">
        <f t="shared" si="41"/>
        <v>0</v>
      </c>
      <c r="F494" s="780">
        <f t="shared" si="35"/>
        <v>0</v>
      </c>
      <c r="G494" s="727">
        <f t="shared" si="40"/>
        <v>0</v>
      </c>
      <c r="H494" s="785">
        <f>+J443*G494+E494</f>
        <v>0</v>
      </c>
      <c r="I494" s="786">
        <f>+J444*G494+E494</f>
        <v>0</v>
      </c>
      <c r="J494" s="783">
        <f t="shared" si="42"/>
        <v>0</v>
      </c>
      <c r="K494" s="783"/>
      <c r="L494" s="1304"/>
      <c r="M494" s="783">
        <f t="shared" si="36"/>
        <v>0</v>
      </c>
      <c r="N494" s="1304"/>
      <c r="O494" s="783">
        <f t="shared" si="37"/>
        <v>0</v>
      </c>
      <c r="P494" s="783">
        <f t="shared" si="38"/>
        <v>0</v>
      </c>
    </row>
    <row r="495" spans="3:16">
      <c r="C495" s="779">
        <f>IF(D442="","-",+C494+1)</f>
        <v>2063</v>
      </c>
      <c r="D495" s="727">
        <f t="shared" si="39"/>
        <v>0</v>
      </c>
      <c r="E495" s="780">
        <f t="shared" si="41"/>
        <v>0</v>
      </c>
      <c r="F495" s="780">
        <f t="shared" si="35"/>
        <v>0</v>
      </c>
      <c r="G495" s="727">
        <f t="shared" si="40"/>
        <v>0</v>
      </c>
      <c r="H495" s="785">
        <f>+J443*G495+E495</f>
        <v>0</v>
      </c>
      <c r="I495" s="786">
        <f>+J444*G495+E495</f>
        <v>0</v>
      </c>
      <c r="J495" s="783">
        <f t="shared" si="42"/>
        <v>0</v>
      </c>
      <c r="K495" s="783"/>
      <c r="L495" s="1304"/>
      <c r="M495" s="783">
        <f t="shared" si="36"/>
        <v>0</v>
      </c>
      <c r="N495" s="1304"/>
      <c r="O495" s="783">
        <f t="shared" si="37"/>
        <v>0</v>
      </c>
      <c r="P495" s="783">
        <f t="shared" si="38"/>
        <v>0</v>
      </c>
    </row>
    <row r="496" spans="3:16">
      <c r="C496" s="779">
        <f>IF(D442="","-",+C495+1)</f>
        <v>2064</v>
      </c>
      <c r="D496" s="727">
        <f t="shared" si="39"/>
        <v>0</v>
      </c>
      <c r="E496" s="780">
        <f t="shared" si="41"/>
        <v>0</v>
      </c>
      <c r="F496" s="780">
        <f t="shared" si="35"/>
        <v>0</v>
      </c>
      <c r="G496" s="727">
        <f t="shared" si="40"/>
        <v>0</v>
      </c>
      <c r="H496" s="785">
        <f>+J443*G496+E496</f>
        <v>0</v>
      </c>
      <c r="I496" s="786">
        <f>+J444*G496+E496</f>
        <v>0</v>
      </c>
      <c r="J496" s="783">
        <f t="shared" si="42"/>
        <v>0</v>
      </c>
      <c r="K496" s="783"/>
      <c r="L496" s="1304"/>
      <c r="M496" s="783">
        <f t="shared" si="36"/>
        <v>0</v>
      </c>
      <c r="N496" s="1304"/>
      <c r="O496" s="783">
        <f t="shared" si="37"/>
        <v>0</v>
      </c>
      <c r="P496" s="783">
        <f t="shared" si="38"/>
        <v>0</v>
      </c>
    </row>
    <row r="497" spans="3:16">
      <c r="C497" s="779">
        <f>IF(D442="","-",+C496+1)</f>
        <v>2065</v>
      </c>
      <c r="D497" s="727">
        <f t="shared" si="39"/>
        <v>0</v>
      </c>
      <c r="E497" s="780">
        <f t="shared" si="41"/>
        <v>0</v>
      </c>
      <c r="F497" s="780">
        <f t="shared" si="35"/>
        <v>0</v>
      </c>
      <c r="G497" s="727">
        <f t="shared" si="40"/>
        <v>0</v>
      </c>
      <c r="H497" s="785">
        <f>+J443*G497+E497</f>
        <v>0</v>
      </c>
      <c r="I497" s="786">
        <f>+J444*G497+E497</f>
        <v>0</v>
      </c>
      <c r="J497" s="783">
        <f t="shared" si="42"/>
        <v>0</v>
      </c>
      <c r="K497" s="783"/>
      <c r="L497" s="1304"/>
      <c r="M497" s="783">
        <f t="shared" si="36"/>
        <v>0</v>
      </c>
      <c r="N497" s="1304"/>
      <c r="O497" s="783">
        <f t="shared" si="37"/>
        <v>0</v>
      </c>
      <c r="P497" s="783">
        <f t="shared" si="38"/>
        <v>0</v>
      </c>
    </row>
    <row r="498" spans="3:16">
      <c r="C498" s="779">
        <f>IF(D442="","-",+C497+1)</f>
        <v>2066</v>
      </c>
      <c r="D498" s="727">
        <f t="shared" si="39"/>
        <v>0</v>
      </c>
      <c r="E498" s="780">
        <f t="shared" si="41"/>
        <v>0</v>
      </c>
      <c r="F498" s="780">
        <f t="shared" si="35"/>
        <v>0</v>
      </c>
      <c r="G498" s="727">
        <f t="shared" si="40"/>
        <v>0</v>
      </c>
      <c r="H498" s="785">
        <f>+J443*G498+E498</f>
        <v>0</v>
      </c>
      <c r="I498" s="786">
        <f>+J444*G498+E498</f>
        <v>0</v>
      </c>
      <c r="J498" s="783">
        <f t="shared" si="42"/>
        <v>0</v>
      </c>
      <c r="K498" s="783"/>
      <c r="L498" s="1304"/>
      <c r="M498" s="783">
        <f t="shared" si="36"/>
        <v>0</v>
      </c>
      <c r="N498" s="1304"/>
      <c r="O498" s="783">
        <f t="shared" si="37"/>
        <v>0</v>
      </c>
      <c r="P498" s="783">
        <f t="shared" si="38"/>
        <v>0</v>
      </c>
    </row>
    <row r="499" spans="3:16">
      <c r="C499" s="779">
        <f>IF(D442="","-",+C498+1)</f>
        <v>2067</v>
      </c>
      <c r="D499" s="727">
        <f t="shared" si="39"/>
        <v>0</v>
      </c>
      <c r="E499" s="780">
        <f t="shared" si="41"/>
        <v>0</v>
      </c>
      <c r="F499" s="780">
        <f t="shared" si="35"/>
        <v>0</v>
      </c>
      <c r="G499" s="727">
        <f t="shared" si="40"/>
        <v>0</v>
      </c>
      <c r="H499" s="785">
        <f>+J443*G499+E499</f>
        <v>0</v>
      </c>
      <c r="I499" s="786">
        <f>+J444*G499+E499</f>
        <v>0</v>
      </c>
      <c r="J499" s="783">
        <f t="shared" si="42"/>
        <v>0</v>
      </c>
      <c r="K499" s="783"/>
      <c r="L499" s="1304"/>
      <c r="M499" s="783">
        <f t="shared" si="36"/>
        <v>0</v>
      </c>
      <c r="N499" s="1304"/>
      <c r="O499" s="783">
        <f t="shared" si="37"/>
        <v>0</v>
      </c>
      <c r="P499" s="783">
        <f t="shared" si="38"/>
        <v>0</v>
      </c>
    </row>
    <row r="500" spans="3:16">
      <c r="C500" s="779">
        <f>IF(D442="","-",+C499+1)</f>
        <v>2068</v>
      </c>
      <c r="D500" s="727">
        <f t="shared" si="39"/>
        <v>0</v>
      </c>
      <c r="E500" s="780">
        <f t="shared" si="41"/>
        <v>0</v>
      </c>
      <c r="F500" s="780">
        <f t="shared" si="35"/>
        <v>0</v>
      </c>
      <c r="G500" s="727">
        <f t="shared" si="40"/>
        <v>0</v>
      </c>
      <c r="H500" s="785">
        <f>+J443*G500+E500</f>
        <v>0</v>
      </c>
      <c r="I500" s="786">
        <f>+J444*G500+E500</f>
        <v>0</v>
      </c>
      <c r="J500" s="783">
        <f t="shared" si="42"/>
        <v>0</v>
      </c>
      <c r="K500" s="783"/>
      <c r="L500" s="1304"/>
      <c r="M500" s="783">
        <f t="shared" si="36"/>
        <v>0</v>
      </c>
      <c r="N500" s="1304"/>
      <c r="O500" s="783">
        <f t="shared" si="37"/>
        <v>0</v>
      </c>
      <c r="P500" s="783">
        <f t="shared" si="38"/>
        <v>0</v>
      </c>
    </row>
    <row r="501" spans="3:16">
      <c r="C501" s="779">
        <f>IF(D442="","-",+C500+1)</f>
        <v>2069</v>
      </c>
      <c r="D501" s="727">
        <f t="shared" si="39"/>
        <v>0</v>
      </c>
      <c r="E501" s="780">
        <f t="shared" si="41"/>
        <v>0</v>
      </c>
      <c r="F501" s="780">
        <f t="shared" si="35"/>
        <v>0</v>
      </c>
      <c r="G501" s="727">
        <f t="shared" si="40"/>
        <v>0</v>
      </c>
      <c r="H501" s="785">
        <f>+J443*G501+E501</f>
        <v>0</v>
      </c>
      <c r="I501" s="786">
        <f>+J444*G501+E501</f>
        <v>0</v>
      </c>
      <c r="J501" s="783">
        <f t="shared" si="42"/>
        <v>0</v>
      </c>
      <c r="K501" s="783"/>
      <c r="L501" s="1304"/>
      <c r="M501" s="783">
        <f t="shared" si="36"/>
        <v>0</v>
      </c>
      <c r="N501" s="1304"/>
      <c r="O501" s="783">
        <f t="shared" si="37"/>
        <v>0</v>
      </c>
      <c r="P501" s="783">
        <f t="shared" si="38"/>
        <v>0</v>
      </c>
    </row>
    <row r="502" spans="3:16">
      <c r="C502" s="779">
        <f>IF(D442="","-",+C501+1)</f>
        <v>2070</v>
      </c>
      <c r="D502" s="727">
        <f t="shared" ref="D502:D507" si="43">F501</f>
        <v>0</v>
      </c>
      <c r="E502" s="780">
        <f t="shared" si="41"/>
        <v>0</v>
      </c>
      <c r="F502" s="780">
        <f t="shared" si="35"/>
        <v>0</v>
      </c>
      <c r="G502" s="727">
        <f t="shared" si="40"/>
        <v>0</v>
      </c>
      <c r="H502" s="785">
        <f>+J443*G502+E502</f>
        <v>0</v>
      </c>
      <c r="I502" s="786">
        <f>+J444*G502+E502</f>
        <v>0</v>
      </c>
      <c r="J502" s="783">
        <f t="shared" si="42"/>
        <v>0</v>
      </c>
      <c r="K502" s="783"/>
      <c r="L502" s="1304"/>
      <c r="M502" s="783">
        <f t="shared" si="36"/>
        <v>0</v>
      </c>
      <c r="N502" s="1304"/>
      <c r="O502" s="783">
        <f t="shared" si="37"/>
        <v>0</v>
      </c>
      <c r="P502" s="783">
        <f t="shared" si="38"/>
        <v>0</v>
      </c>
    </row>
    <row r="503" spans="3:16">
      <c r="C503" s="779">
        <f>IF(D442="","-",+C502+1)</f>
        <v>2071</v>
      </c>
      <c r="D503" s="727">
        <f t="shared" si="43"/>
        <v>0</v>
      </c>
      <c r="E503" s="780">
        <f t="shared" si="41"/>
        <v>0</v>
      </c>
      <c r="F503" s="780">
        <f t="shared" si="35"/>
        <v>0</v>
      </c>
      <c r="G503" s="727">
        <f t="shared" si="40"/>
        <v>0</v>
      </c>
      <c r="H503" s="785">
        <f>+J443*G503+E503</f>
        <v>0</v>
      </c>
      <c r="I503" s="786">
        <f>+J444*G503+E503</f>
        <v>0</v>
      </c>
      <c r="J503" s="783">
        <f t="shared" si="42"/>
        <v>0</v>
      </c>
      <c r="K503" s="783"/>
      <c r="L503" s="1304"/>
      <c r="M503" s="783">
        <f t="shared" si="36"/>
        <v>0</v>
      </c>
      <c r="N503" s="1304"/>
      <c r="O503" s="783">
        <f t="shared" si="37"/>
        <v>0</v>
      </c>
      <c r="P503" s="783">
        <f t="shared" si="38"/>
        <v>0</v>
      </c>
    </row>
    <row r="504" spans="3:16">
      <c r="C504" s="779">
        <f>IF(D442="","-",+C503+1)</f>
        <v>2072</v>
      </c>
      <c r="D504" s="727">
        <f t="shared" si="43"/>
        <v>0</v>
      </c>
      <c r="E504" s="780">
        <f t="shared" si="41"/>
        <v>0</v>
      </c>
      <c r="F504" s="780">
        <f t="shared" si="35"/>
        <v>0</v>
      </c>
      <c r="G504" s="727">
        <f t="shared" si="40"/>
        <v>0</v>
      </c>
      <c r="H504" s="785">
        <f>+J443*G504+E504</f>
        <v>0</v>
      </c>
      <c r="I504" s="786">
        <f>+J444*G504+E504</f>
        <v>0</v>
      </c>
      <c r="J504" s="783">
        <f t="shared" si="42"/>
        <v>0</v>
      </c>
      <c r="K504" s="783"/>
      <c r="L504" s="1304"/>
      <c r="M504" s="783">
        <f t="shared" si="36"/>
        <v>0</v>
      </c>
      <c r="N504" s="1304"/>
      <c r="O504" s="783">
        <f t="shared" si="37"/>
        <v>0</v>
      </c>
      <c r="P504" s="783">
        <f t="shared" si="38"/>
        <v>0</v>
      </c>
    </row>
    <row r="505" spans="3:16">
      <c r="C505" s="779">
        <f>IF(D442="","-",+C504+1)</f>
        <v>2073</v>
      </c>
      <c r="D505" s="727">
        <f t="shared" si="43"/>
        <v>0</v>
      </c>
      <c r="E505" s="780">
        <f t="shared" si="41"/>
        <v>0</v>
      </c>
      <c r="F505" s="780">
        <f t="shared" si="35"/>
        <v>0</v>
      </c>
      <c r="G505" s="727">
        <f t="shared" si="40"/>
        <v>0</v>
      </c>
      <c r="H505" s="785">
        <f>+J443*G505+E505</f>
        <v>0</v>
      </c>
      <c r="I505" s="786">
        <f>+J444*G505+E505</f>
        <v>0</v>
      </c>
      <c r="J505" s="783">
        <f t="shared" si="42"/>
        <v>0</v>
      </c>
      <c r="K505" s="783"/>
      <c r="L505" s="1304"/>
      <c r="M505" s="783">
        <f t="shared" si="36"/>
        <v>0</v>
      </c>
      <c r="N505" s="1304"/>
      <c r="O505" s="783">
        <f t="shared" si="37"/>
        <v>0</v>
      </c>
      <c r="P505" s="783">
        <f t="shared" si="38"/>
        <v>0</v>
      </c>
    </row>
    <row r="506" spans="3:16">
      <c r="C506" s="779">
        <f>IF(D442="","-",+C505+1)</f>
        <v>2074</v>
      </c>
      <c r="D506" s="727">
        <f t="shared" si="43"/>
        <v>0</v>
      </c>
      <c r="E506" s="780">
        <f t="shared" si="41"/>
        <v>0</v>
      </c>
      <c r="F506" s="780">
        <f t="shared" si="35"/>
        <v>0</v>
      </c>
      <c r="G506" s="727">
        <f t="shared" si="40"/>
        <v>0</v>
      </c>
      <c r="H506" s="785">
        <f>+J443*G506+E506</f>
        <v>0</v>
      </c>
      <c r="I506" s="786">
        <f>+J444*G506+E506</f>
        <v>0</v>
      </c>
      <c r="J506" s="783">
        <f t="shared" si="42"/>
        <v>0</v>
      </c>
      <c r="K506" s="783"/>
      <c r="L506" s="1304"/>
      <c r="M506" s="783">
        <f t="shared" si="36"/>
        <v>0</v>
      </c>
      <c r="N506" s="1304"/>
      <c r="O506" s="783">
        <f t="shared" si="37"/>
        <v>0</v>
      </c>
      <c r="P506" s="783">
        <f t="shared" si="38"/>
        <v>0</v>
      </c>
    </row>
    <row r="507" spans="3:16" ht="13.5" thickBot="1">
      <c r="C507" s="789">
        <f>IF(D442="","-",+C506+1)</f>
        <v>2075</v>
      </c>
      <c r="D507" s="790">
        <f t="shared" si="43"/>
        <v>0</v>
      </c>
      <c r="E507" s="791">
        <f t="shared" si="41"/>
        <v>0</v>
      </c>
      <c r="F507" s="791">
        <f t="shared" si="35"/>
        <v>0</v>
      </c>
      <c r="G507" s="790">
        <f t="shared" si="40"/>
        <v>0</v>
      </c>
      <c r="H507" s="792">
        <f>+J443*G507+E507</f>
        <v>0</v>
      </c>
      <c r="I507" s="792">
        <f>+J444*G507+E507</f>
        <v>0</v>
      </c>
      <c r="J507" s="793">
        <f t="shared" si="42"/>
        <v>0</v>
      </c>
      <c r="K507" s="783"/>
      <c r="L507" s="1305"/>
      <c r="M507" s="793">
        <f t="shared" si="36"/>
        <v>0</v>
      </c>
      <c r="N507" s="1305"/>
      <c r="O507" s="793">
        <f t="shared" si="37"/>
        <v>0</v>
      </c>
      <c r="P507" s="793">
        <f t="shared" si="38"/>
        <v>0</v>
      </c>
    </row>
    <row r="508" spans="3:16">
      <c r="C508" s="727" t="s">
        <v>93</v>
      </c>
      <c r="D508" s="721"/>
      <c r="E508" s="721">
        <f>SUM(E448:E507)</f>
        <v>99133366.299999997</v>
      </c>
      <c r="F508" s="721"/>
      <c r="G508" s="721"/>
      <c r="H508" s="721">
        <f>SUM(H448:H507)</f>
        <v>309786256.83352917</v>
      </c>
      <c r="I508" s="721">
        <f>SUM(I448:I507)</f>
        <v>309786256.83352917</v>
      </c>
      <c r="J508" s="721">
        <f>SUM(J448:J507)</f>
        <v>0</v>
      </c>
      <c r="K508" s="721"/>
      <c r="L508" s="721"/>
      <c r="M508" s="721"/>
      <c r="N508" s="721"/>
      <c r="O508" s="721"/>
    </row>
    <row r="509" spans="3:16">
      <c r="D509" s="529"/>
      <c r="E509" s="308"/>
      <c r="F509" s="308"/>
      <c r="G509" s="308"/>
      <c r="H509" s="308"/>
      <c r="I509" s="699"/>
      <c r="J509" s="699"/>
      <c r="K509" s="721"/>
      <c r="L509" s="699"/>
      <c r="M509" s="699"/>
      <c r="N509" s="699"/>
      <c r="O509" s="699"/>
    </row>
    <row r="510" spans="3:16">
      <c r="C510" s="308" t="s">
        <v>15</v>
      </c>
      <c r="D510" s="529"/>
      <c r="E510" s="308"/>
      <c r="F510" s="308"/>
      <c r="G510" s="308"/>
      <c r="H510" s="308"/>
      <c r="I510" s="699"/>
      <c r="J510" s="699"/>
      <c r="K510" s="721"/>
      <c r="L510" s="699"/>
      <c r="M510" s="699"/>
      <c r="N510" s="699"/>
      <c r="O510" s="699"/>
    </row>
    <row r="511" spans="3:16">
      <c r="C511" s="308"/>
      <c r="D511" s="529"/>
      <c r="E511" s="308"/>
      <c r="F511" s="308"/>
      <c r="G511" s="308"/>
      <c r="H511" s="308"/>
      <c r="I511" s="699"/>
      <c r="J511" s="699"/>
      <c r="K511" s="721"/>
      <c r="L511" s="699"/>
      <c r="M511" s="699"/>
      <c r="N511" s="699"/>
      <c r="O511" s="699"/>
    </row>
    <row r="512" spans="3:16">
      <c r="C512" s="740" t="s">
        <v>16</v>
      </c>
      <c r="D512" s="727"/>
      <c r="E512" s="727"/>
      <c r="F512" s="727"/>
      <c r="G512" s="727"/>
      <c r="H512" s="721"/>
      <c r="I512" s="721"/>
      <c r="J512" s="795"/>
      <c r="K512" s="795"/>
      <c r="L512" s="795"/>
      <c r="M512" s="795"/>
      <c r="N512" s="795"/>
      <c r="O512" s="795"/>
    </row>
    <row r="513" spans="1:17">
      <c r="C513" s="726" t="s">
        <v>273</v>
      </c>
      <c r="D513" s="727"/>
      <c r="E513" s="727"/>
      <c r="F513" s="727"/>
      <c r="G513" s="727"/>
      <c r="H513" s="721"/>
      <c r="I513" s="721"/>
      <c r="J513" s="795"/>
      <c r="K513" s="795"/>
      <c r="L513" s="795"/>
      <c r="M513" s="795"/>
      <c r="N513" s="795"/>
      <c r="O513" s="795"/>
    </row>
    <row r="514" spans="1:17">
      <c r="C514" s="726" t="s">
        <v>94</v>
      </c>
      <c r="D514" s="727"/>
      <c r="E514" s="727"/>
      <c r="F514" s="727"/>
      <c r="G514" s="727"/>
      <c r="H514" s="721"/>
      <c r="I514" s="721"/>
      <c r="J514" s="795"/>
      <c r="K514" s="795"/>
      <c r="L514" s="795"/>
      <c r="M514" s="795"/>
      <c r="N514" s="795"/>
      <c r="O514" s="795"/>
    </row>
    <row r="516" spans="1:17" ht="20.25">
      <c r="A516" s="728" t="str">
        <f>""&amp;A438&amp;" Worksheet K -  ATRR TRUE-UP Calculation for PJM Projects Charged to Benefiting Zones"</f>
        <v xml:space="preserve"> Worksheet K -  ATRR TRUE-UP Calculation for PJM Projects Charged to Benefiting Zones</v>
      </c>
      <c r="B516" s="341"/>
      <c r="C516" s="716"/>
      <c r="D516" s="529"/>
      <c r="E516" s="308"/>
      <c r="F516" s="698"/>
      <c r="G516" s="698"/>
      <c r="H516" s="308"/>
      <c r="I516" s="699"/>
      <c r="L516" s="555"/>
      <c r="M516" s="555"/>
      <c r="N516" s="555"/>
      <c r="O516" s="644" t="str">
        <f>"Page "&amp;SUM(Q$8:Q516)&amp;" of "</f>
        <v xml:space="preserve">Page 6 of </v>
      </c>
      <c r="P516" s="645">
        <f>COUNT(Q$8:Q$56657)</f>
        <v>10</v>
      </c>
      <c r="Q516" s="172">
        <v>1</v>
      </c>
    </row>
    <row r="517" spans="1:17">
      <c r="B517" s="341"/>
      <c r="C517" s="308"/>
      <c r="D517" s="529"/>
      <c r="E517" s="308"/>
      <c r="F517" s="308"/>
      <c r="G517" s="308"/>
      <c r="H517" s="308"/>
      <c r="I517" s="699"/>
      <c r="J517" s="308"/>
      <c r="K517" s="418"/>
    </row>
    <row r="518" spans="1:17" ht="18">
      <c r="B518" s="648" t="s">
        <v>474</v>
      </c>
      <c r="C518" s="730" t="s">
        <v>95</v>
      </c>
      <c r="D518" s="529"/>
      <c r="E518" s="308"/>
      <c r="F518" s="308"/>
      <c r="G518" s="308"/>
      <c r="H518" s="308"/>
      <c r="I518" s="699"/>
      <c r="J518" s="699"/>
      <c r="K518" s="721"/>
      <c r="L518" s="699"/>
      <c r="M518" s="699"/>
      <c r="N518" s="699"/>
      <c r="O518" s="699"/>
    </row>
    <row r="519" spans="1:17" ht="18.75">
      <c r="B519" s="648"/>
      <c r="C519" s="647"/>
      <c r="D519" s="529"/>
      <c r="E519" s="308"/>
      <c r="F519" s="308"/>
      <c r="G519" s="308"/>
      <c r="H519" s="308"/>
      <c r="I519" s="699"/>
      <c r="J519" s="699"/>
      <c r="K519" s="721"/>
      <c r="L519" s="699"/>
      <c r="M519" s="699"/>
      <c r="N519" s="699"/>
      <c r="O519" s="699"/>
    </row>
    <row r="520" spans="1:17" ht="18.75">
      <c r="B520" s="648"/>
      <c r="C520" s="647" t="s">
        <v>96</v>
      </c>
      <c r="D520" s="529"/>
      <c r="E520" s="308"/>
      <c r="F520" s="308"/>
      <c r="G520" s="308"/>
      <c r="H520" s="308"/>
      <c r="I520" s="699"/>
      <c r="J520" s="699"/>
      <c r="K520" s="721"/>
      <c r="L520" s="699"/>
      <c r="M520" s="699"/>
      <c r="N520" s="699"/>
      <c r="O520" s="699"/>
    </row>
    <row r="521" spans="1:17" ht="15.75" thickBot="1">
      <c r="C521" s="239"/>
      <c r="D521" s="529"/>
      <c r="E521" s="308"/>
      <c r="F521" s="308"/>
      <c r="G521" s="308"/>
      <c r="H521" s="308"/>
      <c r="I521" s="699"/>
      <c r="J521" s="699"/>
      <c r="K521" s="721"/>
      <c r="L521" s="699"/>
      <c r="M521" s="699"/>
      <c r="N521" s="699"/>
      <c r="O521" s="699"/>
    </row>
    <row r="522" spans="1:17" ht="15.75">
      <c r="C522" s="650" t="s">
        <v>97</v>
      </c>
      <c r="D522" s="529"/>
      <c r="E522" s="308"/>
      <c r="F522" s="308"/>
      <c r="G522" s="308"/>
      <c r="H522" s="797"/>
      <c r="I522" s="308" t="s">
        <v>76</v>
      </c>
      <c r="J522" s="308"/>
      <c r="K522" s="418"/>
      <c r="L522" s="826">
        <f>+J528</f>
        <v>2022</v>
      </c>
      <c r="M522" s="807" t="s">
        <v>54</v>
      </c>
      <c r="N522" s="807" t="s">
        <v>55</v>
      </c>
      <c r="O522" s="808" t="s">
        <v>57</v>
      </c>
    </row>
    <row r="523" spans="1:17" ht="15.75">
      <c r="C523" s="650"/>
      <c r="D523" s="529"/>
      <c r="E523" s="308"/>
      <c r="F523" s="308"/>
      <c r="H523" s="308"/>
      <c r="I523" s="735"/>
      <c r="J523" s="735"/>
      <c r="K523" s="736"/>
      <c r="L523" s="827" t="s">
        <v>245</v>
      </c>
      <c r="M523" s="828">
        <f>VLOOKUP(J528,C535:P594,10)</f>
        <v>6489459.8518816978</v>
      </c>
      <c r="N523" s="828">
        <f>VLOOKUP(J528,C535:P594,12)</f>
        <v>6489459.8518816978</v>
      </c>
      <c r="O523" s="829">
        <f>+N523-M523</f>
        <v>0</v>
      </c>
    </row>
    <row r="524" spans="1:17" ht="12.95" customHeight="1">
      <c r="C524" s="740" t="s">
        <v>98</v>
      </c>
      <c r="D524" s="1553" t="s">
        <v>822</v>
      </c>
      <c r="E524" s="1553"/>
      <c r="F524" s="1553"/>
      <c r="G524" s="1553"/>
      <c r="H524" s="1553"/>
      <c r="I524" s="1553"/>
      <c r="J524" s="699"/>
      <c r="K524" s="721"/>
      <c r="L524" s="827" t="s">
        <v>246</v>
      </c>
      <c r="M524" s="830">
        <f>VLOOKUP(J528,C535:P594,6)</f>
        <v>6531971.2955278922</v>
      </c>
      <c r="N524" s="830">
        <f>VLOOKUP(J528,C535:P594,7)</f>
        <v>6531971.2955278922</v>
      </c>
      <c r="O524" s="831">
        <f>+N524-M524</f>
        <v>0</v>
      </c>
    </row>
    <row r="525" spans="1:17" ht="13.5" thickBot="1">
      <c r="C525" s="744"/>
      <c r="D525" s="1553"/>
      <c r="E525" s="1553"/>
      <c r="F525" s="1553"/>
      <c r="G525" s="1553"/>
      <c r="H525" s="1553"/>
      <c r="I525" s="1553"/>
      <c r="J525" s="699"/>
      <c r="K525" s="721"/>
      <c r="L525" s="763" t="s">
        <v>247</v>
      </c>
      <c r="M525" s="832">
        <f>+M524-M523</f>
        <v>42511.443646194413</v>
      </c>
      <c r="N525" s="832">
        <f>+N524-N523</f>
        <v>42511.443646194413</v>
      </c>
      <c r="O525" s="833">
        <f>+O524-O523</f>
        <v>0</v>
      </c>
    </row>
    <row r="526" spans="1:17" ht="13.5" thickBot="1">
      <c r="C526" s="747"/>
      <c r="D526" s="748"/>
      <c r="E526" s="746"/>
      <c r="F526" s="746"/>
      <c r="G526" s="746"/>
      <c r="H526" s="746"/>
      <c r="I526" s="746"/>
      <c r="J526" s="746"/>
      <c r="K526" s="749"/>
      <c r="L526" s="746"/>
      <c r="M526" s="746"/>
      <c r="N526" s="746"/>
      <c r="O526" s="746"/>
      <c r="P526" s="341"/>
    </row>
    <row r="527" spans="1:17" ht="13.5" thickBot="1">
      <c r="C527" s="750" t="s">
        <v>99</v>
      </c>
      <c r="D527" s="751"/>
      <c r="E527" s="751"/>
      <c r="F527" s="751"/>
      <c r="G527" s="751"/>
      <c r="H527" s="751"/>
      <c r="I527" s="751"/>
      <c r="J527" s="751"/>
      <c r="K527" s="753"/>
      <c r="P527" s="754"/>
    </row>
    <row r="528" spans="1:17" ht="15">
      <c r="A528" s="1331"/>
      <c r="C528" s="755" t="s">
        <v>77</v>
      </c>
      <c r="D528" s="799">
        <v>52217631.810000002</v>
      </c>
      <c r="E528" s="716" t="s">
        <v>78</v>
      </c>
      <c r="H528" s="756"/>
      <c r="I528" s="756"/>
      <c r="J528" s="757">
        <f>$J$93</f>
        <v>2022</v>
      </c>
      <c r="K528" s="545"/>
      <c r="L528" s="1554" t="s">
        <v>79</v>
      </c>
      <c r="M528" s="1554"/>
      <c r="N528" s="1554"/>
      <c r="O528" s="1554"/>
      <c r="P528" s="418"/>
    </row>
    <row r="529" spans="2:16">
      <c r="C529" s="755" t="s">
        <v>80</v>
      </c>
      <c r="D529" s="1301">
        <v>2016</v>
      </c>
      <c r="E529" s="755" t="s">
        <v>81</v>
      </c>
      <c r="F529" s="756"/>
      <c r="G529" s="756"/>
      <c r="I529" s="172"/>
      <c r="J529" s="801">
        <f>IF(H522="",0,$F$17)</f>
        <v>0</v>
      </c>
      <c r="K529" s="758"/>
      <c r="L529" s="721" t="s">
        <v>287</v>
      </c>
      <c r="P529" s="418"/>
    </row>
    <row r="530" spans="2:16">
      <c r="C530" s="755" t="s">
        <v>82</v>
      </c>
      <c r="D530" s="799">
        <v>12</v>
      </c>
      <c r="E530" s="755" t="s">
        <v>83</v>
      </c>
      <c r="F530" s="756"/>
      <c r="G530" s="756"/>
      <c r="I530" s="172"/>
      <c r="J530" s="759">
        <f>$F$70</f>
        <v>0.11486185889303469</v>
      </c>
      <c r="K530" s="760"/>
      <c r="L530" s="308" t="str">
        <f>"          INPUT TRUE-UP ARR (WITH &amp; WITHOUT INCENTIVES) FROM EACH PRIOR YEAR"</f>
        <v xml:space="preserve">          INPUT TRUE-UP ARR (WITH &amp; WITHOUT INCENTIVES) FROM EACH PRIOR YEAR</v>
      </c>
      <c r="P530" s="418"/>
    </row>
    <row r="531" spans="2:16">
      <c r="C531" s="755" t="s">
        <v>84</v>
      </c>
      <c r="D531" s="761">
        <f>H$79</f>
        <v>36</v>
      </c>
      <c r="E531" s="755" t="s">
        <v>85</v>
      </c>
      <c r="F531" s="756"/>
      <c r="G531" s="756"/>
      <c r="I531" s="172"/>
      <c r="J531" s="759">
        <f>IF(H522="",+J530,$F$69)</f>
        <v>0.11486185889303469</v>
      </c>
      <c r="K531" s="762"/>
      <c r="L531" s="308" t="s">
        <v>167</v>
      </c>
      <c r="M531" s="762"/>
      <c r="N531" s="762"/>
      <c r="O531" s="762"/>
      <c r="P531" s="418"/>
    </row>
    <row r="532" spans="2:16" ht="13.5" thickBot="1">
      <c r="C532" s="755" t="s">
        <v>86</v>
      </c>
      <c r="D532" s="1322" t="s">
        <v>814</v>
      </c>
      <c r="E532" s="763" t="s">
        <v>87</v>
      </c>
      <c r="F532" s="764"/>
      <c r="G532" s="764"/>
      <c r="H532" s="765"/>
      <c r="I532" s="765"/>
      <c r="J532" s="743">
        <f>IF(D528=0,0,D528/D531)</f>
        <v>1450489.7725</v>
      </c>
      <c r="K532" s="721"/>
      <c r="L532" s="721" t="s">
        <v>168</v>
      </c>
      <c r="M532" s="721"/>
      <c r="N532" s="721"/>
      <c r="O532" s="721"/>
      <c r="P532" s="418"/>
    </row>
    <row r="533" spans="2:16" ht="38.25">
      <c r="B533" s="836"/>
      <c r="C533" s="766" t="s">
        <v>77</v>
      </c>
      <c r="D533" s="767" t="s">
        <v>88</v>
      </c>
      <c r="E533" s="768" t="s">
        <v>89</v>
      </c>
      <c r="F533" s="767" t="s">
        <v>90</v>
      </c>
      <c r="G533" s="767" t="s">
        <v>248</v>
      </c>
      <c r="H533" s="768" t="s">
        <v>161</v>
      </c>
      <c r="I533" s="769" t="s">
        <v>161</v>
      </c>
      <c r="J533" s="766" t="s">
        <v>100</v>
      </c>
      <c r="K533" s="770"/>
      <c r="L533" s="768" t="s">
        <v>163</v>
      </c>
      <c r="M533" s="768" t="s">
        <v>169</v>
      </c>
      <c r="N533" s="768" t="s">
        <v>163</v>
      </c>
      <c r="O533" s="768" t="s">
        <v>171</v>
      </c>
      <c r="P533" s="768" t="s">
        <v>91</v>
      </c>
    </row>
    <row r="534" spans="2:16" ht="13.5" thickBot="1">
      <c r="C534" s="772" t="s">
        <v>477</v>
      </c>
      <c r="D534" s="773" t="s">
        <v>478</v>
      </c>
      <c r="E534" s="772" t="s">
        <v>371</v>
      </c>
      <c r="F534" s="773" t="s">
        <v>478</v>
      </c>
      <c r="G534" s="773" t="s">
        <v>478</v>
      </c>
      <c r="H534" s="774" t="s">
        <v>103</v>
      </c>
      <c r="I534" s="775" t="s">
        <v>105</v>
      </c>
      <c r="J534" s="776" t="s">
        <v>17</v>
      </c>
      <c r="K534" s="777"/>
      <c r="L534" s="774" t="s">
        <v>92</v>
      </c>
      <c r="M534" s="774" t="s">
        <v>92</v>
      </c>
      <c r="N534" s="774" t="s">
        <v>265</v>
      </c>
      <c r="O534" s="774" t="s">
        <v>265</v>
      </c>
      <c r="P534" s="774" t="s">
        <v>265</v>
      </c>
    </row>
    <row r="535" spans="2:16">
      <c r="C535" s="779">
        <f>IF(D529= "","-",D529)</f>
        <v>2016</v>
      </c>
      <c r="D535" s="727">
        <f>+D528</f>
        <v>52217631.810000002</v>
      </c>
      <c r="E535" s="785">
        <f>+J532/12*(12-D530)</f>
        <v>0</v>
      </c>
      <c r="F535" s="834">
        <f t="shared" ref="F535:F594" si="44">+D535-E535</f>
        <v>52217631.810000002</v>
      </c>
      <c r="G535" s="727">
        <f>+(D535+F535)/2</f>
        <v>52217631.810000002</v>
      </c>
      <c r="H535" s="781">
        <f>+J530*G535+E535</f>
        <v>5997814.25668866</v>
      </c>
      <c r="I535" s="782">
        <f>+J531*G535+E535</f>
        <v>5997814.25668866</v>
      </c>
      <c r="J535" s="783">
        <f>+I535-H535</f>
        <v>0</v>
      </c>
      <c r="K535" s="783"/>
      <c r="L535" s="1303">
        <v>5279934</v>
      </c>
      <c r="M535" s="835">
        <f t="shared" ref="M535:M594" si="45">IF(L535&lt;&gt;0,+H535-L535,0)</f>
        <v>717880.25668866001</v>
      </c>
      <c r="N535" s="1303">
        <v>5279934</v>
      </c>
      <c r="O535" s="835">
        <f t="shared" ref="O535:O594" si="46">IF(N535&lt;&gt;0,+I535-N535,0)</f>
        <v>717880.25668866001</v>
      </c>
      <c r="P535" s="835">
        <f t="shared" ref="P535:P594" si="47">+O535-M535</f>
        <v>0</v>
      </c>
    </row>
    <row r="536" spans="2:16">
      <c r="C536" s="779">
        <f>IF(D529="","-",+C535+1)</f>
        <v>2017</v>
      </c>
      <c r="D536" s="727">
        <f t="shared" ref="D536:D588" si="48">F535</f>
        <v>52217631.810000002</v>
      </c>
      <c r="E536" s="780">
        <f>IF(D536&gt;$J$532,$J$532,D536)</f>
        <v>1450489.7725</v>
      </c>
      <c r="F536" s="780">
        <f t="shared" si="44"/>
        <v>50767142.037500001</v>
      </c>
      <c r="G536" s="727">
        <f t="shared" ref="G536:G594" si="49">+(D536+F536)/2</f>
        <v>51492386.923749998</v>
      </c>
      <c r="H536" s="785">
        <f>+J530*G536+E536</f>
        <v>7365001.0534013165</v>
      </c>
      <c r="I536" s="786">
        <f>+J531*G536+E536</f>
        <v>7365001.0534013165</v>
      </c>
      <c r="J536" s="783">
        <f>+I536-H536</f>
        <v>0</v>
      </c>
      <c r="K536" s="783"/>
      <c r="L536" s="1304">
        <v>5667478</v>
      </c>
      <c r="M536" s="783">
        <f t="shared" si="45"/>
        <v>1697523.0534013165</v>
      </c>
      <c r="N536" s="1304">
        <v>5667478</v>
      </c>
      <c r="O536" s="783">
        <f t="shared" si="46"/>
        <v>1697523.0534013165</v>
      </c>
      <c r="P536" s="783">
        <f t="shared" si="47"/>
        <v>0</v>
      </c>
    </row>
    <row r="537" spans="2:16">
      <c r="C537" s="779">
        <f>IF(D529="","-",+C536+1)</f>
        <v>2018</v>
      </c>
      <c r="D537" s="1393">
        <f t="shared" si="48"/>
        <v>50767142.037500001</v>
      </c>
      <c r="E537" s="780">
        <f t="shared" ref="E537:E594" si="50">IF(D537&gt;$J$532,$J$532,D537)</f>
        <v>1450489.7725</v>
      </c>
      <c r="F537" s="780">
        <f t="shared" si="44"/>
        <v>49316652.265000001</v>
      </c>
      <c r="G537" s="727">
        <f t="shared" si="49"/>
        <v>50041897.151250005</v>
      </c>
      <c r="H537" s="785">
        <f>+J530*G537+E537</f>
        <v>7198395.1018266324</v>
      </c>
      <c r="I537" s="786">
        <f>+J531*G537+E537</f>
        <v>7198395.1018266324</v>
      </c>
      <c r="J537" s="783">
        <f t="shared" ref="J537:J594" si="51">+I537-H537</f>
        <v>0</v>
      </c>
      <c r="K537" s="783"/>
      <c r="L537" s="1304">
        <v>4860385</v>
      </c>
      <c r="M537" s="783">
        <f t="shared" si="45"/>
        <v>2338010.1018266324</v>
      </c>
      <c r="N537" s="1304">
        <v>4860385</v>
      </c>
      <c r="O537" s="783">
        <f t="shared" si="46"/>
        <v>2338010.1018266324</v>
      </c>
      <c r="P537" s="783">
        <f t="shared" si="47"/>
        <v>0</v>
      </c>
    </row>
    <row r="538" spans="2:16">
      <c r="C538" s="779">
        <f>IF(D529="","-",+C537+1)</f>
        <v>2019</v>
      </c>
      <c r="D538" s="727">
        <f t="shared" si="48"/>
        <v>49316652.265000001</v>
      </c>
      <c r="E538" s="780">
        <f t="shared" si="50"/>
        <v>1450489.7725</v>
      </c>
      <c r="F538" s="780">
        <f t="shared" si="44"/>
        <v>47866162.4925</v>
      </c>
      <c r="G538" s="727">
        <f t="shared" si="49"/>
        <v>48591407.378749996</v>
      </c>
      <c r="H538" s="785">
        <f>+J530*G538+E538</f>
        <v>7031789.1502519464</v>
      </c>
      <c r="I538" s="786">
        <f>+J531*G538+E538</f>
        <v>7031789.1502519464</v>
      </c>
      <c r="J538" s="783">
        <f t="shared" si="51"/>
        <v>0</v>
      </c>
      <c r="K538" s="783"/>
      <c r="L538" s="1304">
        <v>6293605</v>
      </c>
      <c r="M538" s="783">
        <f t="shared" si="45"/>
        <v>738184.15025194641</v>
      </c>
      <c r="N538" s="1304">
        <v>6293605</v>
      </c>
      <c r="O538" s="783">
        <f t="shared" si="46"/>
        <v>738184.15025194641</v>
      </c>
      <c r="P538" s="783">
        <f t="shared" si="47"/>
        <v>0</v>
      </c>
    </row>
    <row r="539" spans="2:16">
      <c r="C539" s="779">
        <f>IF(D529="","-",+C538+1)</f>
        <v>2020</v>
      </c>
      <c r="D539" s="1323">
        <f t="shared" si="48"/>
        <v>47866162.4925</v>
      </c>
      <c r="E539" s="780">
        <f t="shared" si="50"/>
        <v>1450489.7725</v>
      </c>
      <c r="F539" s="780">
        <f t="shared" si="44"/>
        <v>46415672.719999999</v>
      </c>
      <c r="G539" s="727">
        <f t="shared" si="49"/>
        <v>47140917.606250003</v>
      </c>
      <c r="H539" s="785">
        <f>+J530*G539+E539</f>
        <v>6865183.1986772623</v>
      </c>
      <c r="I539" s="786">
        <f>+J531*G539+E539</f>
        <v>6865183.1986772623</v>
      </c>
      <c r="J539" s="783">
        <f t="shared" si="51"/>
        <v>0</v>
      </c>
      <c r="K539" s="783"/>
      <c r="L539" s="1304">
        <v>6439770.5705238646</v>
      </c>
      <c r="M539" s="783">
        <f t="shared" si="45"/>
        <v>425412.6281533977</v>
      </c>
      <c r="N539" s="1304">
        <v>6439770.5705238646</v>
      </c>
      <c r="O539" s="783">
        <f t="shared" si="46"/>
        <v>425412.6281533977</v>
      </c>
      <c r="P539" s="783">
        <f t="shared" si="47"/>
        <v>0</v>
      </c>
    </row>
    <row r="540" spans="2:16">
      <c r="C540" s="779">
        <f>IF(D529="","-",+C539+1)</f>
        <v>2021</v>
      </c>
      <c r="D540" s="1323">
        <f t="shared" si="48"/>
        <v>46415672.719999999</v>
      </c>
      <c r="E540" s="780">
        <f t="shared" si="50"/>
        <v>1450489.7725</v>
      </c>
      <c r="F540" s="780">
        <f t="shared" si="44"/>
        <v>44965182.947499998</v>
      </c>
      <c r="G540" s="727">
        <f t="shared" si="49"/>
        <v>45690427.833749995</v>
      </c>
      <c r="H540" s="785">
        <f>+J530*G540+E540</f>
        <v>6698577.2471025763</v>
      </c>
      <c r="I540" s="786">
        <f>+J531*G540+E540</f>
        <v>6698577.2471025763</v>
      </c>
      <c r="J540" s="783">
        <f t="shared" si="51"/>
        <v>0</v>
      </c>
      <c r="K540" s="783"/>
      <c r="L540" s="1304">
        <v>6395009.4806452719</v>
      </c>
      <c r="M540" s="783">
        <f t="shared" si="45"/>
        <v>303567.76645730436</v>
      </c>
      <c r="N540" s="1304">
        <v>6395009.4806452719</v>
      </c>
      <c r="O540" s="783">
        <f t="shared" si="46"/>
        <v>303567.76645730436</v>
      </c>
      <c r="P540" s="783">
        <f t="shared" si="47"/>
        <v>0</v>
      </c>
    </row>
    <row r="541" spans="2:16">
      <c r="C541" s="779">
        <f>IF(D529="","-",+C540+1)</f>
        <v>2022</v>
      </c>
      <c r="D541" s="1323">
        <f t="shared" si="48"/>
        <v>44965182.947499998</v>
      </c>
      <c r="E541" s="780">
        <f t="shared" si="50"/>
        <v>1450489.7725</v>
      </c>
      <c r="F541" s="780">
        <f t="shared" si="44"/>
        <v>43514693.174999997</v>
      </c>
      <c r="G541" s="727">
        <f t="shared" si="49"/>
        <v>44239938.061250001</v>
      </c>
      <c r="H541" s="785">
        <f>+J530*G541+E541</f>
        <v>6531971.2955278922</v>
      </c>
      <c r="I541" s="786">
        <f>+J531*G541+E541</f>
        <v>6531971.2955278922</v>
      </c>
      <c r="J541" s="783">
        <f t="shared" si="51"/>
        <v>0</v>
      </c>
      <c r="K541" s="783"/>
      <c r="L541" s="1304">
        <v>6489459.8518816978</v>
      </c>
      <c r="M541" s="783">
        <f t="shared" si="45"/>
        <v>42511.443646194413</v>
      </c>
      <c r="N541" s="1304">
        <v>6489459.8518816978</v>
      </c>
      <c r="O541" s="783">
        <f t="shared" si="46"/>
        <v>42511.443646194413</v>
      </c>
      <c r="P541" s="783">
        <f t="shared" si="47"/>
        <v>0</v>
      </c>
    </row>
    <row r="542" spans="2:16">
      <c r="C542" s="779">
        <f>IF(D529="","-",+C541+1)</f>
        <v>2023</v>
      </c>
      <c r="D542" s="727">
        <f t="shared" si="48"/>
        <v>43514693.174999997</v>
      </c>
      <c r="E542" s="780">
        <f t="shared" si="50"/>
        <v>1450489.7725</v>
      </c>
      <c r="F542" s="780">
        <f t="shared" si="44"/>
        <v>42064203.402499996</v>
      </c>
      <c r="G542" s="727">
        <f t="shared" si="49"/>
        <v>42789448.288749993</v>
      </c>
      <c r="H542" s="785">
        <f>+J530*G542+E542</f>
        <v>6365365.3439532062</v>
      </c>
      <c r="I542" s="786">
        <f>+J531*G542+E542</f>
        <v>6365365.3439532062</v>
      </c>
      <c r="J542" s="783">
        <f t="shared" si="51"/>
        <v>0</v>
      </c>
      <c r="K542" s="783"/>
      <c r="L542" s="1304"/>
      <c r="M542" s="783">
        <f t="shared" si="45"/>
        <v>0</v>
      </c>
      <c r="N542" s="1304"/>
      <c r="O542" s="783">
        <f t="shared" si="46"/>
        <v>0</v>
      </c>
      <c r="P542" s="783">
        <f t="shared" si="47"/>
        <v>0</v>
      </c>
    </row>
    <row r="543" spans="2:16">
      <c r="C543" s="779">
        <f>IF(D529="","-",+C542+1)</f>
        <v>2024</v>
      </c>
      <c r="D543" s="727">
        <f t="shared" si="48"/>
        <v>42064203.402499996</v>
      </c>
      <c r="E543" s="780">
        <f t="shared" si="50"/>
        <v>1450489.7725</v>
      </c>
      <c r="F543" s="780">
        <f t="shared" si="44"/>
        <v>40613713.629999995</v>
      </c>
      <c r="G543" s="727">
        <f t="shared" si="49"/>
        <v>41338958.516249999</v>
      </c>
      <c r="H543" s="785">
        <f>+J530*G543+E543</f>
        <v>6198759.3923785221</v>
      </c>
      <c r="I543" s="786">
        <f>+J531*G543+E543</f>
        <v>6198759.3923785221</v>
      </c>
      <c r="J543" s="783">
        <f t="shared" si="51"/>
        <v>0</v>
      </c>
      <c r="K543" s="783"/>
      <c r="L543" s="1304"/>
      <c r="M543" s="783">
        <f t="shared" si="45"/>
        <v>0</v>
      </c>
      <c r="N543" s="1304"/>
      <c r="O543" s="783">
        <f t="shared" si="46"/>
        <v>0</v>
      </c>
      <c r="P543" s="783">
        <f t="shared" si="47"/>
        <v>0</v>
      </c>
    </row>
    <row r="544" spans="2:16">
      <c r="C544" s="779">
        <f>IF(D529="","-",+C543+1)</f>
        <v>2025</v>
      </c>
      <c r="D544" s="727">
        <f t="shared" si="48"/>
        <v>40613713.629999995</v>
      </c>
      <c r="E544" s="780">
        <f t="shared" si="50"/>
        <v>1450489.7725</v>
      </c>
      <c r="F544" s="780">
        <f t="shared" si="44"/>
        <v>39163223.857499994</v>
      </c>
      <c r="G544" s="727">
        <f t="shared" si="49"/>
        <v>39888468.743749991</v>
      </c>
      <c r="H544" s="785">
        <f>+J530*G544+E544</f>
        <v>6032153.4408038361</v>
      </c>
      <c r="I544" s="786">
        <f>+J531*G544+E544</f>
        <v>6032153.4408038361</v>
      </c>
      <c r="J544" s="783">
        <f t="shared" si="51"/>
        <v>0</v>
      </c>
      <c r="K544" s="783"/>
      <c r="L544" s="1304"/>
      <c r="M544" s="783">
        <f t="shared" si="45"/>
        <v>0</v>
      </c>
      <c r="N544" s="1304"/>
      <c r="O544" s="783">
        <f t="shared" si="46"/>
        <v>0</v>
      </c>
      <c r="P544" s="783">
        <f t="shared" si="47"/>
        <v>0</v>
      </c>
    </row>
    <row r="545" spans="3:16">
      <c r="C545" s="779">
        <f>IF(D529="","-",+C544+1)</f>
        <v>2026</v>
      </c>
      <c r="D545" s="727">
        <f t="shared" si="48"/>
        <v>39163223.857499994</v>
      </c>
      <c r="E545" s="780">
        <f t="shared" si="50"/>
        <v>1450489.7725</v>
      </c>
      <c r="F545" s="780">
        <f t="shared" si="44"/>
        <v>37712734.084999993</v>
      </c>
      <c r="G545" s="727">
        <f t="shared" si="49"/>
        <v>38437978.971249998</v>
      </c>
      <c r="H545" s="785">
        <f>+J530*G545+E545</f>
        <v>5865547.489229152</v>
      </c>
      <c r="I545" s="786">
        <f>+J531*G545+E545</f>
        <v>5865547.489229152</v>
      </c>
      <c r="J545" s="783">
        <f t="shared" si="51"/>
        <v>0</v>
      </c>
      <c r="K545" s="783"/>
      <c r="L545" s="1304"/>
      <c r="M545" s="783">
        <f t="shared" si="45"/>
        <v>0</v>
      </c>
      <c r="N545" s="1304"/>
      <c r="O545" s="783">
        <f t="shared" si="46"/>
        <v>0</v>
      </c>
      <c r="P545" s="783">
        <f t="shared" si="47"/>
        <v>0</v>
      </c>
    </row>
    <row r="546" spans="3:16">
      <c r="C546" s="779">
        <f>IF(D529="","-",+C545+1)</f>
        <v>2027</v>
      </c>
      <c r="D546" s="727">
        <f t="shared" si="48"/>
        <v>37712734.084999993</v>
      </c>
      <c r="E546" s="780">
        <f t="shared" si="50"/>
        <v>1450489.7725</v>
      </c>
      <c r="F546" s="780">
        <f t="shared" si="44"/>
        <v>36262244.312499993</v>
      </c>
      <c r="G546" s="727">
        <f t="shared" si="49"/>
        <v>36987489.198749989</v>
      </c>
      <c r="H546" s="785">
        <f>+J530*G546+E546</f>
        <v>5698941.537654466</v>
      </c>
      <c r="I546" s="786">
        <f>+J531*G546+E546</f>
        <v>5698941.537654466</v>
      </c>
      <c r="J546" s="783">
        <f t="shared" si="51"/>
        <v>0</v>
      </c>
      <c r="K546" s="783"/>
      <c r="L546" s="1304"/>
      <c r="M546" s="783">
        <f t="shared" si="45"/>
        <v>0</v>
      </c>
      <c r="N546" s="1304"/>
      <c r="O546" s="783">
        <f t="shared" si="46"/>
        <v>0</v>
      </c>
      <c r="P546" s="783">
        <f t="shared" si="47"/>
        <v>0</v>
      </c>
    </row>
    <row r="547" spans="3:16">
      <c r="C547" s="779">
        <f>IF(D529="","-",+C546+1)</f>
        <v>2028</v>
      </c>
      <c r="D547" s="727">
        <f t="shared" si="48"/>
        <v>36262244.312499993</v>
      </c>
      <c r="E547" s="780">
        <f t="shared" si="50"/>
        <v>1450489.7725</v>
      </c>
      <c r="F547" s="780">
        <f t="shared" si="44"/>
        <v>34811754.539999992</v>
      </c>
      <c r="G547" s="727">
        <f t="shared" si="49"/>
        <v>35536999.426249996</v>
      </c>
      <c r="H547" s="785">
        <f>+J530*G547+E547</f>
        <v>5532335.5860797819</v>
      </c>
      <c r="I547" s="786">
        <f>+J531*G547+E547</f>
        <v>5532335.5860797819</v>
      </c>
      <c r="J547" s="783">
        <f t="shared" si="51"/>
        <v>0</v>
      </c>
      <c r="K547" s="783"/>
      <c r="L547" s="1304"/>
      <c r="M547" s="783">
        <f t="shared" si="45"/>
        <v>0</v>
      </c>
      <c r="N547" s="1304"/>
      <c r="O547" s="783">
        <f t="shared" si="46"/>
        <v>0</v>
      </c>
      <c r="P547" s="783">
        <f t="shared" si="47"/>
        <v>0</v>
      </c>
    </row>
    <row r="548" spans="3:16">
      <c r="C548" s="779">
        <f>IF(D529="","-",+C547+1)</f>
        <v>2029</v>
      </c>
      <c r="D548" s="727">
        <f t="shared" si="48"/>
        <v>34811754.539999992</v>
      </c>
      <c r="E548" s="780">
        <f t="shared" si="50"/>
        <v>1450489.7725</v>
      </c>
      <c r="F548" s="780">
        <f t="shared" si="44"/>
        <v>33361264.767499991</v>
      </c>
      <c r="G548" s="727">
        <f t="shared" si="49"/>
        <v>34086509.653749987</v>
      </c>
      <c r="H548" s="785">
        <f>+J530*G548+E548</f>
        <v>5365729.634505095</v>
      </c>
      <c r="I548" s="786">
        <f>+J531*G548+E548</f>
        <v>5365729.634505095</v>
      </c>
      <c r="J548" s="783">
        <f t="shared" si="51"/>
        <v>0</v>
      </c>
      <c r="K548" s="783"/>
      <c r="L548" s="1304"/>
      <c r="M548" s="783">
        <f t="shared" si="45"/>
        <v>0</v>
      </c>
      <c r="N548" s="1304"/>
      <c r="O548" s="783">
        <f t="shared" si="46"/>
        <v>0</v>
      </c>
      <c r="P548" s="783">
        <f t="shared" si="47"/>
        <v>0</v>
      </c>
    </row>
    <row r="549" spans="3:16">
      <c r="C549" s="779">
        <f>IF(D529="","-",+C548+1)</f>
        <v>2030</v>
      </c>
      <c r="D549" s="727">
        <f t="shared" si="48"/>
        <v>33361264.767499991</v>
      </c>
      <c r="E549" s="780">
        <f t="shared" si="50"/>
        <v>1450489.7725</v>
      </c>
      <c r="F549" s="780">
        <f t="shared" si="44"/>
        <v>31910774.99499999</v>
      </c>
      <c r="G549" s="727">
        <f t="shared" si="49"/>
        <v>32636019.88124999</v>
      </c>
      <c r="H549" s="785">
        <f>+J530*G549+E549</f>
        <v>5199123.6829304108</v>
      </c>
      <c r="I549" s="786">
        <f>+J531*G549+E549</f>
        <v>5199123.6829304108</v>
      </c>
      <c r="J549" s="783">
        <f t="shared" si="51"/>
        <v>0</v>
      </c>
      <c r="K549" s="783"/>
      <c r="L549" s="1304"/>
      <c r="M549" s="783">
        <f t="shared" si="45"/>
        <v>0</v>
      </c>
      <c r="N549" s="1304"/>
      <c r="O549" s="783">
        <f t="shared" si="46"/>
        <v>0</v>
      </c>
      <c r="P549" s="783">
        <f t="shared" si="47"/>
        <v>0</v>
      </c>
    </row>
    <row r="550" spans="3:16">
      <c r="C550" s="779">
        <f>IF(D529="","-",+C549+1)</f>
        <v>2031</v>
      </c>
      <c r="D550" s="727">
        <f t="shared" si="48"/>
        <v>31910774.99499999</v>
      </c>
      <c r="E550" s="780">
        <f t="shared" si="50"/>
        <v>1450489.7725</v>
      </c>
      <c r="F550" s="780">
        <f t="shared" si="44"/>
        <v>30460285.222499989</v>
      </c>
      <c r="G550" s="727">
        <f t="shared" si="49"/>
        <v>31185530.108749989</v>
      </c>
      <c r="H550" s="785">
        <f>+J530*G550+E550</f>
        <v>5032517.7313557258</v>
      </c>
      <c r="I550" s="786">
        <f>+J531*G550+E550</f>
        <v>5032517.7313557258</v>
      </c>
      <c r="J550" s="783">
        <f t="shared" si="51"/>
        <v>0</v>
      </c>
      <c r="K550" s="783"/>
      <c r="L550" s="1304"/>
      <c r="M550" s="783">
        <f t="shared" si="45"/>
        <v>0</v>
      </c>
      <c r="N550" s="1304"/>
      <c r="O550" s="783">
        <f t="shared" si="46"/>
        <v>0</v>
      </c>
      <c r="P550" s="783">
        <f t="shared" si="47"/>
        <v>0</v>
      </c>
    </row>
    <row r="551" spans="3:16">
      <c r="C551" s="779">
        <f>IF(D529="","-",+C550+1)</f>
        <v>2032</v>
      </c>
      <c r="D551" s="727">
        <f t="shared" si="48"/>
        <v>30460285.222499989</v>
      </c>
      <c r="E551" s="780">
        <f t="shared" si="50"/>
        <v>1450489.7725</v>
      </c>
      <c r="F551" s="780">
        <f t="shared" si="44"/>
        <v>29009795.449999988</v>
      </c>
      <c r="G551" s="727">
        <f t="shared" si="49"/>
        <v>29735040.336249989</v>
      </c>
      <c r="H551" s="785">
        <f>+J530*G551+E551</f>
        <v>4865911.7797810407</v>
      </c>
      <c r="I551" s="786">
        <f>+J531*G551+E551</f>
        <v>4865911.7797810407</v>
      </c>
      <c r="J551" s="783">
        <f t="shared" si="51"/>
        <v>0</v>
      </c>
      <c r="K551" s="783"/>
      <c r="L551" s="1304"/>
      <c r="M551" s="783">
        <f t="shared" si="45"/>
        <v>0</v>
      </c>
      <c r="N551" s="1304"/>
      <c r="O551" s="783">
        <f t="shared" si="46"/>
        <v>0</v>
      </c>
      <c r="P551" s="783">
        <f t="shared" si="47"/>
        <v>0</v>
      </c>
    </row>
    <row r="552" spans="3:16">
      <c r="C552" s="779">
        <f>IF(D529="","-",+C551+1)</f>
        <v>2033</v>
      </c>
      <c r="D552" s="727">
        <f t="shared" si="48"/>
        <v>29009795.449999988</v>
      </c>
      <c r="E552" s="780">
        <f t="shared" si="50"/>
        <v>1450489.7725</v>
      </c>
      <c r="F552" s="780">
        <f t="shared" si="44"/>
        <v>27559305.677499987</v>
      </c>
      <c r="G552" s="727">
        <f t="shared" si="49"/>
        <v>28284550.563749988</v>
      </c>
      <c r="H552" s="785">
        <f>+J530*G552+E552</f>
        <v>4699305.8282063557</v>
      </c>
      <c r="I552" s="786">
        <f>+J531*G552+E552</f>
        <v>4699305.8282063557</v>
      </c>
      <c r="J552" s="783">
        <f t="shared" si="51"/>
        <v>0</v>
      </c>
      <c r="K552" s="783"/>
      <c r="L552" s="1304"/>
      <c r="M552" s="783">
        <f t="shared" si="45"/>
        <v>0</v>
      </c>
      <c r="N552" s="1304"/>
      <c r="O552" s="783">
        <f t="shared" si="46"/>
        <v>0</v>
      </c>
      <c r="P552" s="783">
        <f t="shared" si="47"/>
        <v>0</v>
      </c>
    </row>
    <row r="553" spans="3:16">
      <c r="C553" s="779">
        <f>IF(D529="","-",+C552+1)</f>
        <v>2034</v>
      </c>
      <c r="D553" s="727">
        <f t="shared" si="48"/>
        <v>27559305.677499987</v>
      </c>
      <c r="E553" s="780">
        <f t="shared" si="50"/>
        <v>1450489.7725</v>
      </c>
      <c r="F553" s="780">
        <f t="shared" si="44"/>
        <v>26108815.904999986</v>
      </c>
      <c r="G553" s="727">
        <f t="shared" si="49"/>
        <v>26834060.791249987</v>
      </c>
      <c r="H553" s="785">
        <f>+J530*G553+E553</f>
        <v>4532699.8766316706</v>
      </c>
      <c r="I553" s="786">
        <f>+J531*G553+E553</f>
        <v>4532699.8766316706</v>
      </c>
      <c r="J553" s="783">
        <f t="shared" si="51"/>
        <v>0</v>
      </c>
      <c r="K553" s="783"/>
      <c r="L553" s="1304"/>
      <c r="M553" s="783">
        <f t="shared" si="45"/>
        <v>0</v>
      </c>
      <c r="N553" s="1304"/>
      <c r="O553" s="783">
        <f t="shared" si="46"/>
        <v>0</v>
      </c>
      <c r="P553" s="783">
        <f t="shared" si="47"/>
        <v>0</v>
      </c>
    </row>
    <row r="554" spans="3:16">
      <c r="C554" s="779">
        <f>IF(D529="","-",+C553+1)</f>
        <v>2035</v>
      </c>
      <c r="D554" s="727">
        <f t="shared" si="48"/>
        <v>26108815.904999986</v>
      </c>
      <c r="E554" s="780">
        <f t="shared" si="50"/>
        <v>1450489.7725</v>
      </c>
      <c r="F554" s="780">
        <f t="shared" si="44"/>
        <v>24658326.132499985</v>
      </c>
      <c r="G554" s="727">
        <f t="shared" si="49"/>
        <v>25383571.018749986</v>
      </c>
      <c r="H554" s="785">
        <f>+J530*G554+E554</f>
        <v>4366093.9250569856</v>
      </c>
      <c r="I554" s="786">
        <f>+J531*G554+E554</f>
        <v>4366093.9250569856</v>
      </c>
      <c r="J554" s="783">
        <f t="shared" si="51"/>
        <v>0</v>
      </c>
      <c r="K554" s="783"/>
      <c r="L554" s="1304"/>
      <c r="M554" s="783">
        <f t="shared" si="45"/>
        <v>0</v>
      </c>
      <c r="N554" s="1304"/>
      <c r="O554" s="783">
        <f t="shared" si="46"/>
        <v>0</v>
      </c>
      <c r="P554" s="783">
        <f t="shared" si="47"/>
        <v>0</v>
      </c>
    </row>
    <row r="555" spans="3:16">
      <c r="C555" s="779">
        <f>IF(D529="","-",+C554+1)</f>
        <v>2036</v>
      </c>
      <c r="D555" s="727">
        <f t="shared" si="48"/>
        <v>24658326.132499985</v>
      </c>
      <c r="E555" s="780">
        <f t="shared" si="50"/>
        <v>1450489.7725</v>
      </c>
      <c r="F555" s="780">
        <f t="shared" si="44"/>
        <v>23207836.359999985</v>
      </c>
      <c r="G555" s="727">
        <f t="shared" si="49"/>
        <v>23933081.246249985</v>
      </c>
      <c r="H555" s="785">
        <f>+J530*G555+E555</f>
        <v>4199487.9734823005</v>
      </c>
      <c r="I555" s="786">
        <f>+J531*G555+E555</f>
        <v>4199487.9734823005</v>
      </c>
      <c r="J555" s="783">
        <f t="shared" si="51"/>
        <v>0</v>
      </c>
      <c r="K555" s="783"/>
      <c r="L555" s="1304"/>
      <c r="M555" s="783">
        <f t="shared" si="45"/>
        <v>0</v>
      </c>
      <c r="N555" s="1304"/>
      <c r="O555" s="783">
        <f t="shared" si="46"/>
        <v>0</v>
      </c>
      <c r="P555" s="783">
        <f t="shared" si="47"/>
        <v>0</v>
      </c>
    </row>
    <row r="556" spans="3:16">
      <c r="C556" s="779">
        <f>IF(D529="","-",+C555+1)</f>
        <v>2037</v>
      </c>
      <c r="D556" s="727">
        <f t="shared" si="48"/>
        <v>23207836.359999985</v>
      </c>
      <c r="E556" s="780">
        <f t="shared" si="50"/>
        <v>1450489.7725</v>
      </c>
      <c r="F556" s="780">
        <f t="shared" si="44"/>
        <v>21757346.587499984</v>
      </c>
      <c r="G556" s="727">
        <f t="shared" si="49"/>
        <v>22482591.473749984</v>
      </c>
      <c r="H556" s="785">
        <f>+J530*G556+E556</f>
        <v>4032882.0219076155</v>
      </c>
      <c r="I556" s="786">
        <f>+J531*G556+E556</f>
        <v>4032882.0219076155</v>
      </c>
      <c r="J556" s="783">
        <f t="shared" si="51"/>
        <v>0</v>
      </c>
      <c r="K556" s="783"/>
      <c r="L556" s="1304"/>
      <c r="M556" s="783">
        <f t="shared" si="45"/>
        <v>0</v>
      </c>
      <c r="N556" s="1304"/>
      <c r="O556" s="783">
        <f t="shared" si="46"/>
        <v>0</v>
      </c>
      <c r="P556" s="783">
        <f t="shared" si="47"/>
        <v>0</v>
      </c>
    </row>
    <row r="557" spans="3:16">
      <c r="C557" s="779">
        <f>IF(D529="","-",+C556+1)</f>
        <v>2038</v>
      </c>
      <c r="D557" s="727">
        <f t="shared" si="48"/>
        <v>21757346.587499984</v>
      </c>
      <c r="E557" s="780">
        <f t="shared" si="50"/>
        <v>1450489.7725</v>
      </c>
      <c r="F557" s="780">
        <f t="shared" si="44"/>
        <v>20306856.814999983</v>
      </c>
      <c r="G557" s="727">
        <f t="shared" si="49"/>
        <v>21032101.701249983</v>
      </c>
      <c r="H557" s="785">
        <f>+J530*G557+E557</f>
        <v>3866276.0703329304</v>
      </c>
      <c r="I557" s="786">
        <f>+J531*G557+E557</f>
        <v>3866276.0703329304</v>
      </c>
      <c r="J557" s="783">
        <f t="shared" si="51"/>
        <v>0</v>
      </c>
      <c r="K557" s="783"/>
      <c r="L557" s="1304"/>
      <c r="M557" s="783">
        <f t="shared" si="45"/>
        <v>0</v>
      </c>
      <c r="N557" s="1304"/>
      <c r="O557" s="783">
        <f t="shared" si="46"/>
        <v>0</v>
      </c>
      <c r="P557" s="783">
        <f t="shared" si="47"/>
        <v>0</v>
      </c>
    </row>
    <row r="558" spans="3:16">
      <c r="C558" s="779">
        <f>IF(D529="","-",+C557+1)</f>
        <v>2039</v>
      </c>
      <c r="D558" s="727">
        <f t="shared" si="48"/>
        <v>20306856.814999983</v>
      </c>
      <c r="E558" s="780">
        <f t="shared" si="50"/>
        <v>1450489.7725</v>
      </c>
      <c r="F558" s="780">
        <f t="shared" si="44"/>
        <v>18856367.042499982</v>
      </c>
      <c r="G558" s="727">
        <f t="shared" si="49"/>
        <v>19581611.928749982</v>
      </c>
      <c r="H558" s="785">
        <f>+J530*G558+E558</f>
        <v>3699670.1187582454</v>
      </c>
      <c r="I558" s="786">
        <f>+J531*G558+E558</f>
        <v>3699670.1187582454</v>
      </c>
      <c r="J558" s="783">
        <f t="shared" si="51"/>
        <v>0</v>
      </c>
      <c r="K558" s="783"/>
      <c r="L558" s="1304"/>
      <c r="M558" s="783">
        <f t="shared" si="45"/>
        <v>0</v>
      </c>
      <c r="N558" s="1304"/>
      <c r="O558" s="783">
        <f t="shared" si="46"/>
        <v>0</v>
      </c>
      <c r="P558" s="783">
        <f t="shared" si="47"/>
        <v>0</v>
      </c>
    </row>
    <row r="559" spans="3:16">
      <c r="C559" s="779">
        <f>IF(D529="","-",+C558+1)</f>
        <v>2040</v>
      </c>
      <c r="D559" s="727">
        <f t="shared" si="48"/>
        <v>18856367.042499982</v>
      </c>
      <c r="E559" s="780">
        <f t="shared" si="50"/>
        <v>1450489.7725</v>
      </c>
      <c r="F559" s="780">
        <f t="shared" si="44"/>
        <v>17405877.269999981</v>
      </c>
      <c r="G559" s="727">
        <f t="shared" si="49"/>
        <v>18131122.156249981</v>
      </c>
      <c r="H559" s="785">
        <f>+J530*G559+E559</f>
        <v>3533064.1671835603</v>
      </c>
      <c r="I559" s="786">
        <f>+J531*G559+E559</f>
        <v>3533064.1671835603</v>
      </c>
      <c r="J559" s="783">
        <f t="shared" si="51"/>
        <v>0</v>
      </c>
      <c r="K559" s="783"/>
      <c r="L559" s="1304"/>
      <c r="M559" s="783">
        <f t="shared" si="45"/>
        <v>0</v>
      </c>
      <c r="N559" s="1304"/>
      <c r="O559" s="783">
        <f t="shared" si="46"/>
        <v>0</v>
      </c>
      <c r="P559" s="783">
        <f t="shared" si="47"/>
        <v>0</v>
      </c>
    </row>
    <row r="560" spans="3:16">
      <c r="C560" s="779">
        <f>IF(D529="","-",+C559+1)</f>
        <v>2041</v>
      </c>
      <c r="D560" s="727">
        <f t="shared" si="48"/>
        <v>17405877.269999981</v>
      </c>
      <c r="E560" s="780">
        <f t="shared" si="50"/>
        <v>1450489.7725</v>
      </c>
      <c r="F560" s="780">
        <f t="shared" si="44"/>
        <v>15955387.49749998</v>
      </c>
      <c r="G560" s="727">
        <f t="shared" si="49"/>
        <v>16680632.38374998</v>
      </c>
      <c r="H560" s="785">
        <f>+J530*G560+E560</f>
        <v>3366458.2156088753</v>
      </c>
      <c r="I560" s="786">
        <f>+J531*G560+E560</f>
        <v>3366458.2156088753</v>
      </c>
      <c r="J560" s="783">
        <f t="shared" si="51"/>
        <v>0</v>
      </c>
      <c r="K560" s="783"/>
      <c r="L560" s="1304"/>
      <c r="M560" s="783">
        <f t="shared" si="45"/>
        <v>0</v>
      </c>
      <c r="N560" s="1304"/>
      <c r="O560" s="783">
        <f t="shared" si="46"/>
        <v>0</v>
      </c>
      <c r="P560" s="783">
        <f t="shared" si="47"/>
        <v>0</v>
      </c>
    </row>
    <row r="561" spans="3:16">
      <c r="C561" s="779">
        <f>IF(D529="","-",+C560+1)</f>
        <v>2042</v>
      </c>
      <c r="D561" s="727">
        <f t="shared" si="48"/>
        <v>15955387.49749998</v>
      </c>
      <c r="E561" s="780">
        <f t="shared" si="50"/>
        <v>1450489.7725</v>
      </c>
      <c r="F561" s="780">
        <f t="shared" si="44"/>
        <v>14504897.724999979</v>
      </c>
      <c r="G561" s="727">
        <f t="shared" si="49"/>
        <v>15230142.61124998</v>
      </c>
      <c r="H561" s="785">
        <f>+J530*G561+E561</f>
        <v>3199852.2640341902</v>
      </c>
      <c r="I561" s="786">
        <f>+J531*G561+E561</f>
        <v>3199852.2640341902</v>
      </c>
      <c r="J561" s="783">
        <f t="shared" si="51"/>
        <v>0</v>
      </c>
      <c r="K561" s="783"/>
      <c r="L561" s="1304"/>
      <c r="M561" s="783">
        <f t="shared" si="45"/>
        <v>0</v>
      </c>
      <c r="N561" s="1304"/>
      <c r="O561" s="783">
        <f t="shared" si="46"/>
        <v>0</v>
      </c>
      <c r="P561" s="783">
        <f t="shared" si="47"/>
        <v>0</v>
      </c>
    </row>
    <row r="562" spans="3:16">
      <c r="C562" s="779">
        <f>IF(D529="","-",+C561+1)</f>
        <v>2043</v>
      </c>
      <c r="D562" s="727">
        <f t="shared" si="48"/>
        <v>14504897.724999979</v>
      </c>
      <c r="E562" s="780">
        <f t="shared" si="50"/>
        <v>1450489.7725</v>
      </c>
      <c r="F562" s="780">
        <f t="shared" si="44"/>
        <v>13054407.952499978</v>
      </c>
      <c r="G562" s="727">
        <f t="shared" si="49"/>
        <v>13779652.838749979</v>
      </c>
      <c r="H562" s="785">
        <f>+J530*G562+E562</f>
        <v>3033246.3124595052</v>
      </c>
      <c r="I562" s="786">
        <f>+J531*G562+E562</f>
        <v>3033246.3124595052</v>
      </c>
      <c r="J562" s="783">
        <f t="shared" si="51"/>
        <v>0</v>
      </c>
      <c r="K562" s="783"/>
      <c r="L562" s="1304"/>
      <c r="M562" s="783">
        <f t="shared" si="45"/>
        <v>0</v>
      </c>
      <c r="N562" s="1304"/>
      <c r="O562" s="783">
        <f t="shared" si="46"/>
        <v>0</v>
      </c>
      <c r="P562" s="783">
        <f t="shared" si="47"/>
        <v>0</v>
      </c>
    </row>
    <row r="563" spans="3:16">
      <c r="C563" s="779">
        <f>IF(D529="","-",+C562+1)</f>
        <v>2044</v>
      </c>
      <c r="D563" s="727">
        <f t="shared" si="48"/>
        <v>13054407.952499978</v>
      </c>
      <c r="E563" s="780">
        <f t="shared" si="50"/>
        <v>1450489.7725</v>
      </c>
      <c r="F563" s="780">
        <f t="shared" si="44"/>
        <v>11603918.179999977</v>
      </c>
      <c r="G563" s="727">
        <f t="shared" si="49"/>
        <v>12329163.066249978</v>
      </c>
      <c r="H563" s="785">
        <f>+J530*G563+E563</f>
        <v>2866640.3608848196</v>
      </c>
      <c r="I563" s="786">
        <f>+J531*G563+E563</f>
        <v>2866640.3608848196</v>
      </c>
      <c r="J563" s="783">
        <f t="shared" si="51"/>
        <v>0</v>
      </c>
      <c r="K563" s="783"/>
      <c r="L563" s="1304"/>
      <c r="M563" s="783">
        <f t="shared" si="45"/>
        <v>0</v>
      </c>
      <c r="N563" s="1304"/>
      <c r="O563" s="783">
        <f t="shared" si="46"/>
        <v>0</v>
      </c>
      <c r="P563" s="783">
        <f t="shared" si="47"/>
        <v>0</v>
      </c>
    </row>
    <row r="564" spans="3:16">
      <c r="C564" s="779">
        <f>IF(D529="","-",+C563+1)</f>
        <v>2045</v>
      </c>
      <c r="D564" s="727">
        <f t="shared" si="48"/>
        <v>11603918.179999977</v>
      </c>
      <c r="E564" s="780">
        <f t="shared" si="50"/>
        <v>1450489.7725</v>
      </c>
      <c r="F564" s="780">
        <f t="shared" si="44"/>
        <v>10153428.407499976</v>
      </c>
      <c r="G564" s="727">
        <f t="shared" si="49"/>
        <v>10878673.293749977</v>
      </c>
      <c r="H564" s="785">
        <f>+J530*G564+E564</f>
        <v>2700034.4093101346</v>
      </c>
      <c r="I564" s="786">
        <f>+J531*G564+E564</f>
        <v>2700034.4093101346</v>
      </c>
      <c r="J564" s="783">
        <f t="shared" si="51"/>
        <v>0</v>
      </c>
      <c r="K564" s="783"/>
      <c r="L564" s="1304"/>
      <c r="M564" s="783">
        <f t="shared" si="45"/>
        <v>0</v>
      </c>
      <c r="N564" s="1304"/>
      <c r="O564" s="783">
        <f t="shared" si="46"/>
        <v>0</v>
      </c>
      <c r="P564" s="783">
        <f t="shared" si="47"/>
        <v>0</v>
      </c>
    </row>
    <row r="565" spans="3:16">
      <c r="C565" s="779">
        <f>IF(D529="","-",+C564+1)</f>
        <v>2046</v>
      </c>
      <c r="D565" s="727">
        <f t="shared" si="48"/>
        <v>10153428.407499976</v>
      </c>
      <c r="E565" s="780">
        <f t="shared" si="50"/>
        <v>1450489.7725</v>
      </c>
      <c r="F565" s="780">
        <f t="shared" si="44"/>
        <v>8702938.6349999756</v>
      </c>
      <c r="G565" s="727">
        <f t="shared" si="49"/>
        <v>9428183.521249976</v>
      </c>
      <c r="H565" s="785">
        <f>+J530*G565+E565</f>
        <v>2533428.4577354495</v>
      </c>
      <c r="I565" s="786">
        <f>+J531*G565+E565</f>
        <v>2533428.4577354495</v>
      </c>
      <c r="J565" s="783">
        <f t="shared" si="51"/>
        <v>0</v>
      </c>
      <c r="K565" s="783"/>
      <c r="L565" s="1304"/>
      <c r="M565" s="783">
        <f t="shared" si="45"/>
        <v>0</v>
      </c>
      <c r="N565" s="1304"/>
      <c r="O565" s="783">
        <f t="shared" si="46"/>
        <v>0</v>
      </c>
      <c r="P565" s="783">
        <f t="shared" si="47"/>
        <v>0</v>
      </c>
    </row>
    <row r="566" spans="3:16">
      <c r="C566" s="779">
        <f>IF(D529="","-",+C565+1)</f>
        <v>2047</v>
      </c>
      <c r="D566" s="727">
        <f t="shared" si="48"/>
        <v>8702938.6349999756</v>
      </c>
      <c r="E566" s="780">
        <f t="shared" si="50"/>
        <v>1450489.7725</v>
      </c>
      <c r="F566" s="780">
        <f t="shared" si="44"/>
        <v>7252448.8624999756</v>
      </c>
      <c r="G566" s="727">
        <f t="shared" si="49"/>
        <v>7977693.7487499751</v>
      </c>
      <c r="H566" s="785">
        <f>+J530*G566+E566</f>
        <v>2366822.5061607645</v>
      </c>
      <c r="I566" s="786">
        <f>+J531*G566+E566</f>
        <v>2366822.5061607645</v>
      </c>
      <c r="J566" s="783">
        <f t="shared" si="51"/>
        <v>0</v>
      </c>
      <c r="K566" s="783"/>
      <c r="L566" s="1304"/>
      <c r="M566" s="783">
        <f t="shared" si="45"/>
        <v>0</v>
      </c>
      <c r="N566" s="1304"/>
      <c r="O566" s="783">
        <f t="shared" si="46"/>
        <v>0</v>
      </c>
      <c r="P566" s="783">
        <f t="shared" si="47"/>
        <v>0</v>
      </c>
    </row>
    <row r="567" spans="3:16">
      <c r="C567" s="779">
        <f>IF(D529="","-",+C566+1)</f>
        <v>2048</v>
      </c>
      <c r="D567" s="727">
        <f t="shared" si="48"/>
        <v>7252448.8624999756</v>
      </c>
      <c r="E567" s="780">
        <f t="shared" si="50"/>
        <v>1450489.7725</v>
      </c>
      <c r="F567" s="780">
        <f t="shared" si="44"/>
        <v>5801959.0899999756</v>
      </c>
      <c r="G567" s="727">
        <f t="shared" si="49"/>
        <v>6527203.9762499761</v>
      </c>
      <c r="H567" s="785">
        <f>+J530*G567+E567</f>
        <v>2200216.5545860799</v>
      </c>
      <c r="I567" s="786">
        <f>+J531*G567+E567</f>
        <v>2200216.5545860799</v>
      </c>
      <c r="J567" s="783">
        <f t="shared" si="51"/>
        <v>0</v>
      </c>
      <c r="K567" s="783"/>
      <c r="L567" s="1304"/>
      <c r="M567" s="783">
        <f t="shared" si="45"/>
        <v>0</v>
      </c>
      <c r="N567" s="1304"/>
      <c r="O567" s="783">
        <f t="shared" si="46"/>
        <v>0</v>
      </c>
      <c r="P567" s="783">
        <f t="shared" si="47"/>
        <v>0</v>
      </c>
    </row>
    <row r="568" spans="3:16">
      <c r="C568" s="779">
        <f>IF(D529="","-",+C567+1)</f>
        <v>2049</v>
      </c>
      <c r="D568" s="727">
        <f t="shared" si="48"/>
        <v>5801959.0899999756</v>
      </c>
      <c r="E568" s="780">
        <f t="shared" si="50"/>
        <v>1450489.7725</v>
      </c>
      <c r="F568" s="780">
        <f t="shared" si="44"/>
        <v>4351469.3174999757</v>
      </c>
      <c r="G568" s="727">
        <f t="shared" si="49"/>
        <v>5076714.2037499752</v>
      </c>
      <c r="H568" s="785">
        <f>+J530*G568+E568</f>
        <v>2033610.6030113944</v>
      </c>
      <c r="I568" s="786">
        <f>+J531*G568+E568</f>
        <v>2033610.6030113944</v>
      </c>
      <c r="J568" s="783">
        <f t="shared" si="51"/>
        <v>0</v>
      </c>
      <c r="K568" s="783"/>
      <c r="L568" s="1304"/>
      <c r="M568" s="783">
        <f t="shared" si="45"/>
        <v>0</v>
      </c>
      <c r="N568" s="1304"/>
      <c r="O568" s="783">
        <f t="shared" si="46"/>
        <v>0</v>
      </c>
      <c r="P568" s="783">
        <f t="shared" si="47"/>
        <v>0</v>
      </c>
    </row>
    <row r="569" spans="3:16">
      <c r="C569" s="779">
        <f>IF(D529="","-",+C568+1)</f>
        <v>2050</v>
      </c>
      <c r="D569" s="727">
        <f t="shared" si="48"/>
        <v>4351469.3174999757</v>
      </c>
      <c r="E569" s="780">
        <f t="shared" si="50"/>
        <v>1450489.7725</v>
      </c>
      <c r="F569" s="780">
        <f t="shared" si="44"/>
        <v>2900979.5449999757</v>
      </c>
      <c r="G569" s="727">
        <f t="shared" si="49"/>
        <v>3626224.4312499757</v>
      </c>
      <c r="H569" s="785">
        <f>+J530*G569+E569</f>
        <v>1867004.6514367096</v>
      </c>
      <c r="I569" s="786">
        <f>+J531*G569+E569</f>
        <v>1867004.6514367096</v>
      </c>
      <c r="J569" s="783">
        <f t="shared" si="51"/>
        <v>0</v>
      </c>
      <c r="K569" s="783"/>
      <c r="L569" s="1304"/>
      <c r="M569" s="783">
        <f t="shared" si="45"/>
        <v>0</v>
      </c>
      <c r="N569" s="1304"/>
      <c r="O569" s="783">
        <f t="shared" si="46"/>
        <v>0</v>
      </c>
      <c r="P569" s="783">
        <f t="shared" si="47"/>
        <v>0</v>
      </c>
    </row>
    <row r="570" spans="3:16">
      <c r="C570" s="779">
        <f>IF(D529="","-",+C569+1)</f>
        <v>2051</v>
      </c>
      <c r="D570" s="727">
        <f t="shared" si="48"/>
        <v>2900979.5449999757</v>
      </c>
      <c r="E570" s="780">
        <f t="shared" si="50"/>
        <v>1450489.7725</v>
      </c>
      <c r="F570" s="780">
        <f t="shared" si="44"/>
        <v>1450489.7724999757</v>
      </c>
      <c r="G570" s="727">
        <f t="shared" si="49"/>
        <v>2175734.6587499757</v>
      </c>
      <c r="H570" s="785">
        <f>+J530*G570+E570</f>
        <v>1700398.6998620247</v>
      </c>
      <c r="I570" s="786">
        <f>+J531*G570+E570</f>
        <v>1700398.6998620247</v>
      </c>
      <c r="J570" s="783">
        <f t="shared" si="51"/>
        <v>0</v>
      </c>
      <c r="K570" s="783"/>
      <c r="L570" s="1304"/>
      <c r="M570" s="783">
        <f t="shared" si="45"/>
        <v>0</v>
      </c>
      <c r="N570" s="1304"/>
      <c r="O570" s="783">
        <f t="shared" si="46"/>
        <v>0</v>
      </c>
      <c r="P570" s="783">
        <f t="shared" si="47"/>
        <v>0</v>
      </c>
    </row>
    <row r="571" spans="3:16">
      <c r="C571" s="779">
        <f>IF(D529="","-",+C570+1)</f>
        <v>2052</v>
      </c>
      <c r="D571" s="727">
        <f t="shared" si="48"/>
        <v>1450489.7724999757</v>
      </c>
      <c r="E571" s="780">
        <f t="shared" si="50"/>
        <v>1450489.7724999757</v>
      </c>
      <c r="F571" s="780">
        <f t="shared" si="44"/>
        <v>0</v>
      </c>
      <c r="G571" s="727">
        <f t="shared" si="49"/>
        <v>725244.88624998787</v>
      </c>
      <c r="H571" s="785">
        <f>+J530*G571+E571</f>
        <v>1533792.7482873169</v>
      </c>
      <c r="I571" s="786">
        <f>+J531*G571+E571</f>
        <v>1533792.7482873169</v>
      </c>
      <c r="J571" s="783">
        <f t="shared" si="51"/>
        <v>0</v>
      </c>
      <c r="K571" s="783"/>
      <c r="L571" s="1304"/>
      <c r="M571" s="783">
        <f t="shared" si="45"/>
        <v>0</v>
      </c>
      <c r="N571" s="1304"/>
      <c r="O571" s="783">
        <f t="shared" si="46"/>
        <v>0</v>
      </c>
      <c r="P571" s="783">
        <f t="shared" si="47"/>
        <v>0</v>
      </c>
    </row>
    <row r="572" spans="3:16">
      <c r="C572" s="779">
        <f>IF(D529="","-",+C571+1)</f>
        <v>2053</v>
      </c>
      <c r="D572" s="727">
        <f t="shared" si="48"/>
        <v>0</v>
      </c>
      <c r="E572" s="780">
        <f t="shared" si="50"/>
        <v>0</v>
      </c>
      <c r="F572" s="780">
        <f t="shared" si="44"/>
        <v>0</v>
      </c>
      <c r="G572" s="727">
        <f t="shared" si="49"/>
        <v>0</v>
      </c>
      <c r="H572" s="785">
        <f>+J530*G572+E572</f>
        <v>0</v>
      </c>
      <c r="I572" s="786">
        <f>+J531*G572+E572</f>
        <v>0</v>
      </c>
      <c r="J572" s="783">
        <f t="shared" si="51"/>
        <v>0</v>
      </c>
      <c r="K572" s="783"/>
      <c r="L572" s="1304"/>
      <c r="M572" s="783">
        <f t="shared" si="45"/>
        <v>0</v>
      </c>
      <c r="N572" s="1304"/>
      <c r="O572" s="783">
        <f t="shared" si="46"/>
        <v>0</v>
      </c>
      <c r="P572" s="783">
        <f t="shared" si="47"/>
        <v>0</v>
      </c>
    </row>
    <row r="573" spans="3:16">
      <c r="C573" s="779">
        <f>IF(D529="","-",+C572+1)</f>
        <v>2054</v>
      </c>
      <c r="D573" s="727">
        <f t="shared" si="48"/>
        <v>0</v>
      </c>
      <c r="E573" s="780">
        <f t="shared" si="50"/>
        <v>0</v>
      </c>
      <c r="F573" s="780">
        <f t="shared" si="44"/>
        <v>0</v>
      </c>
      <c r="G573" s="727">
        <f t="shared" si="49"/>
        <v>0</v>
      </c>
      <c r="H573" s="785">
        <f>+J530*G573+E573</f>
        <v>0</v>
      </c>
      <c r="I573" s="786">
        <f>+J531*G573+E573</f>
        <v>0</v>
      </c>
      <c r="J573" s="783">
        <f t="shared" si="51"/>
        <v>0</v>
      </c>
      <c r="K573" s="783"/>
      <c r="L573" s="1304"/>
      <c r="M573" s="783">
        <f t="shared" si="45"/>
        <v>0</v>
      </c>
      <c r="N573" s="1304"/>
      <c r="O573" s="783">
        <f t="shared" si="46"/>
        <v>0</v>
      </c>
      <c r="P573" s="783">
        <f t="shared" si="47"/>
        <v>0</v>
      </c>
    </row>
    <row r="574" spans="3:16">
      <c r="C574" s="779">
        <f>IF(D529="","-",+C573+1)</f>
        <v>2055</v>
      </c>
      <c r="D574" s="727">
        <f t="shared" si="48"/>
        <v>0</v>
      </c>
      <c r="E574" s="780">
        <f t="shared" si="50"/>
        <v>0</v>
      </c>
      <c r="F574" s="780">
        <f t="shared" si="44"/>
        <v>0</v>
      </c>
      <c r="G574" s="727">
        <f t="shared" si="49"/>
        <v>0</v>
      </c>
      <c r="H574" s="785">
        <f>+J530*G574+E574</f>
        <v>0</v>
      </c>
      <c r="I574" s="786">
        <f>+J531*G574+E574</f>
        <v>0</v>
      </c>
      <c r="J574" s="783">
        <f t="shared" si="51"/>
        <v>0</v>
      </c>
      <c r="K574" s="783"/>
      <c r="L574" s="1304"/>
      <c r="M574" s="783">
        <f t="shared" si="45"/>
        <v>0</v>
      </c>
      <c r="N574" s="1304"/>
      <c r="O574" s="783">
        <f t="shared" si="46"/>
        <v>0</v>
      </c>
      <c r="P574" s="783">
        <f t="shared" si="47"/>
        <v>0</v>
      </c>
    </row>
    <row r="575" spans="3:16">
      <c r="C575" s="779">
        <f>IF(D529="","-",+C574+1)</f>
        <v>2056</v>
      </c>
      <c r="D575" s="727">
        <f t="shared" si="48"/>
        <v>0</v>
      </c>
      <c r="E575" s="780">
        <f t="shared" si="50"/>
        <v>0</v>
      </c>
      <c r="F575" s="780">
        <f t="shared" si="44"/>
        <v>0</v>
      </c>
      <c r="G575" s="727">
        <f t="shared" si="49"/>
        <v>0</v>
      </c>
      <c r="H575" s="785">
        <f>+J530*G575+E575</f>
        <v>0</v>
      </c>
      <c r="I575" s="786">
        <f>+J531*G575+E575</f>
        <v>0</v>
      </c>
      <c r="J575" s="783">
        <f t="shared" si="51"/>
        <v>0</v>
      </c>
      <c r="K575" s="783"/>
      <c r="L575" s="1304"/>
      <c r="M575" s="783">
        <f t="shared" si="45"/>
        <v>0</v>
      </c>
      <c r="N575" s="1304"/>
      <c r="O575" s="783">
        <f t="shared" si="46"/>
        <v>0</v>
      </c>
      <c r="P575" s="783">
        <f t="shared" si="47"/>
        <v>0</v>
      </c>
    </row>
    <row r="576" spans="3:16">
      <c r="C576" s="779">
        <f>IF(D529="","-",+C575+1)</f>
        <v>2057</v>
      </c>
      <c r="D576" s="727">
        <f t="shared" si="48"/>
        <v>0</v>
      </c>
      <c r="E576" s="780">
        <f t="shared" si="50"/>
        <v>0</v>
      </c>
      <c r="F576" s="780">
        <f t="shared" si="44"/>
        <v>0</v>
      </c>
      <c r="G576" s="727">
        <f t="shared" si="49"/>
        <v>0</v>
      </c>
      <c r="H576" s="785">
        <f>+J530*G576+E576</f>
        <v>0</v>
      </c>
      <c r="I576" s="786">
        <f>+J531*G576+E576</f>
        <v>0</v>
      </c>
      <c r="J576" s="783">
        <f t="shared" si="51"/>
        <v>0</v>
      </c>
      <c r="K576" s="783"/>
      <c r="L576" s="1304"/>
      <c r="M576" s="783">
        <f t="shared" si="45"/>
        <v>0</v>
      </c>
      <c r="N576" s="1304"/>
      <c r="O576" s="783">
        <f t="shared" si="46"/>
        <v>0</v>
      </c>
      <c r="P576" s="783">
        <f t="shared" si="47"/>
        <v>0</v>
      </c>
    </row>
    <row r="577" spans="3:16">
      <c r="C577" s="779">
        <f>IF(D529="","-",+C576+1)</f>
        <v>2058</v>
      </c>
      <c r="D577" s="727">
        <f t="shared" si="48"/>
        <v>0</v>
      </c>
      <c r="E577" s="780">
        <f t="shared" si="50"/>
        <v>0</v>
      </c>
      <c r="F577" s="780">
        <f t="shared" si="44"/>
        <v>0</v>
      </c>
      <c r="G577" s="727">
        <f t="shared" si="49"/>
        <v>0</v>
      </c>
      <c r="H577" s="785">
        <f>+J530*G577+E577</f>
        <v>0</v>
      </c>
      <c r="I577" s="786">
        <f>+J531*G577+E577</f>
        <v>0</v>
      </c>
      <c r="J577" s="783">
        <f t="shared" si="51"/>
        <v>0</v>
      </c>
      <c r="K577" s="783"/>
      <c r="L577" s="1304"/>
      <c r="M577" s="783">
        <f t="shared" si="45"/>
        <v>0</v>
      </c>
      <c r="N577" s="1304"/>
      <c r="O577" s="783">
        <f t="shared" si="46"/>
        <v>0</v>
      </c>
      <c r="P577" s="783">
        <f t="shared" si="47"/>
        <v>0</v>
      </c>
    </row>
    <row r="578" spans="3:16">
      <c r="C578" s="779">
        <f>IF(D529="","-",+C577+1)</f>
        <v>2059</v>
      </c>
      <c r="D578" s="727">
        <f t="shared" si="48"/>
        <v>0</v>
      </c>
      <c r="E578" s="780">
        <f t="shared" si="50"/>
        <v>0</v>
      </c>
      <c r="F578" s="780">
        <f t="shared" si="44"/>
        <v>0</v>
      </c>
      <c r="G578" s="727">
        <f t="shared" si="49"/>
        <v>0</v>
      </c>
      <c r="H578" s="785">
        <f>+J530*G578+E578</f>
        <v>0</v>
      </c>
      <c r="I578" s="786">
        <f>+J531*G578+E578</f>
        <v>0</v>
      </c>
      <c r="J578" s="783">
        <f t="shared" si="51"/>
        <v>0</v>
      </c>
      <c r="K578" s="783"/>
      <c r="L578" s="1304"/>
      <c r="M578" s="783">
        <f t="shared" si="45"/>
        <v>0</v>
      </c>
      <c r="N578" s="1304"/>
      <c r="O578" s="783">
        <f t="shared" si="46"/>
        <v>0</v>
      </c>
      <c r="P578" s="783">
        <f t="shared" si="47"/>
        <v>0</v>
      </c>
    </row>
    <row r="579" spans="3:16">
      <c r="C579" s="779">
        <f>IF(D529="","-",+C578+1)</f>
        <v>2060</v>
      </c>
      <c r="D579" s="727">
        <f t="shared" si="48"/>
        <v>0</v>
      </c>
      <c r="E579" s="780">
        <f t="shared" si="50"/>
        <v>0</v>
      </c>
      <c r="F579" s="780">
        <f t="shared" si="44"/>
        <v>0</v>
      </c>
      <c r="G579" s="727">
        <f t="shared" si="49"/>
        <v>0</v>
      </c>
      <c r="H579" s="785">
        <f>+J530*G579+E579</f>
        <v>0</v>
      </c>
      <c r="I579" s="786">
        <f>+J531*G579+E579</f>
        <v>0</v>
      </c>
      <c r="J579" s="783">
        <f t="shared" si="51"/>
        <v>0</v>
      </c>
      <c r="K579" s="783"/>
      <c r="L579" s="1304"/>
      <c r="M579" s="783">
        <f t="shared" si="45"/>
        <v>0</v>
      </c>
      <c r="N579" s="1304"/>
      <c r="O579" s="783">
        <f t="shared" si="46"/>
        <v>0</v>
      </c>
      <c r="P579" s="783">
        <f t="shared" si="47"/>
        <v>0</v>
      </c>
    </row>
    <row r="580" spans="3:16">
      <c r="C580" s="779">
        <f>IF(D529="","-",+C579+1)</f>
        <v>2061</v>
      </c>
      <c r="D580" s="727">
        <f t="shared" si="48"/>
        <v>0</v>
      </c>
      <c r="E580" s="780">
        <f t="shared" si="50"/>
        <v>0</v>
      </c>
      <c r="F580" s="780">
        <f t="shared" si="44"/>
        <v>0</v>
      </c>
      <c r="G580" s="727">
        <f t="shared" si="49"/>
        <v>0</v>
      </c>
      <c r="H580" s="785">
        <f>+J530*G580+E580</f>
        <v>0</v>
      </c>
      <c r="I580" s="786">
        <f>+J531*G580+E580</f>
        <v>0</v>
      </c>
      <c r="J580" s="783">
        <f t="shared" si="51"/>
        <v>0</v>
      </c>
      <c r="K580" s="783"/>
      <c r="L580" s="1304"/>
      <c r="M580" s="783">
        <f t="shared" si="45"/>
        <v>0</v>
      </c>
      <c r="N580" s="1304"/>
      <c r="O580" s="783">
        <f t="shared" si="46"/>
        <v>0</v>
      </c>
      <c r="P580" s="783">
        <f t="shared" si="47"/>
        <v>0</v>
      </c>
    </row>
    <row r="581" spans="3:16">
      <c r="C581" s="779">
        <f>IF(D529="","-",+C580+1)</f>
        <v>2062</v>
      </c>
      <c r="D581" s="727">
        <f t="shared" si="48"/>
        <v>0</v>
      </c>
      <c r="E581" s="780">
        <f t="shared" si="50"/>
        <v>0</v>
      </c>
      <c r="F581" s="780">
        <f t="shared" si="44"/>
        <v>0</v>
      </c>
      <c r="G581" s="727">
        <f t="shared" si="49"/>
        <v>0</v>
      </c>
      <c r="H581" s="785">
        <f>+J530*G581+E581</f>
        <v>0</v>
      </c>
      <c r="I581" s="786">
        <f>+J531*G581+E581</f>
        <v>0</v>
      </c>
      <c r="J581" s="783">
        <f t="shared" si="51"/>
        <v>0</v>
      </c>
      <c r="K581" s="783"/>
      <c r="L581" s="1304"/>
      <c r="M581" s="783">
        <f t="shared" si="45"/>
        <v>0</v>
      </c>
      <c r="N581" s="1304"/>
      <c r="O581" s="783">
        <f t="shared" si="46"/>
        <v>0</v>
      </c>
      <c r="P581" s="783">
        <f t="shared" si="47"/>
        <v>0</v>
      </c>
    </row>
    <row r="582" spans="3:16">
      <c r="C582" s="779">
        <f>IF(D529="","-",+C581+1)</f>
        <v>2063</v>
      </c>
      <c r="D582" s="727">
        <f t="shared" si="48"/>
        <v>0</v>
      </c>
      <c r="E582" s="780">
        <f t="shared" si="50"/>
        <v>0</v>
      </c>
      <c r="F582" s="780">
        <f t="shared" si="44"/>
        <v>0</v>
      </c>
      <c r="G582" s="727">
        <f t="shared" si="49"/>
        <v>0</v>
      </c>
      <c r="H582" s="785">
        <f>+J530*G582+E582</f>
        <v>0</v>
      </c>
      <c r="I582" s="786">
        <f>+J531*G582+E582</f>
        <v>0</v>
      </c>
      <c r="J582" s="783">
        <f t="shared" si="51"/>
        <v>0</v>
      </c>
      <c r="K582" s="783"/>
      <c r="L582" s="1304"/>
      <c r="M582" s="783">
        <f t="shared" si="45"/>
        <v>0</v>
      </c>
      <c r="N582" s="1304"/>
      <c r="O582" s="783">
        <f t="shared" si="46"/>
        <v>0</v>
      </c>
      <c r="P582" s="783">
        <f t="shared" si="47"/>
        <v>0</v>
      </c>
    </row>
    <row r="583" spans="3:16">
      <c r="C583" s="779">
        <f>IF(D529="","-",+C582+1)</f>
        <v>2064</v>
      </c>
      <c r="D583" s="727">
        <f t="shared" si="48"/>
        <v>0</v>
      </c>
      <c r="E583" s="780">
        <f t="shared" si="50"/>
        <v>0</v>
      </c>
      <c r="F583" s="780">
        <f t="shared" si="44"/>
        <v>0</v>
      </c>
      <c r="G583" s="727">
        <f t="shared" si="49"/>
        <v>0</v>
      </c>
      <c r="H583" s="785">
        <f>+J530*G583+E583</f>
        <v>0</v>
      </c>
      <c r="I583" s="786">
        <f>+J531*G583+E583</f>
        <v>0</v>
      </c>
      <c r="J583" s="783">
        <f t="shared" si="51"/>
        <v>0</v>
      </c>
      <c r="K583" s="783"/>
      <c r="L583" s="1304"/>
      <c r="M583" s="783">
        <f t="shared" si="45"/>
        <v>0</v>
      </c>
      <c r="N583" s="1304"/>
      <c r="O583" s="783">
        <f t="shared" si="46"/>
        <v>0</v>
      </c>
      <c r="P583" s="783">
        <f t="shared" si="47"/>
        <v>0</v>
      </c>
    </row>
    <row r="584" spans="3:16">
      <c r="C584" s="779">
        <f>IF(D529="","-",+C583+1)</f>
        <v>2065</v>
      </c>
      <c r="D584" s="727">
        <f t="shared" si="48"/>
        <v>0</v>
      </c>
      <c r="E584" s="780">
        <f t="shared" si="50"/>
        <v>0</v>
      </c>
      <c r="F584" s="780">
        <f t="shared" si="44"/>
        <v>0</v>
      </c>
      <c r="G584" s="727">
        <f t="shared" si="49"/>
        <v>0</v>
      </c>
      <c r="H584" s="785">
        <f>+J530*G584+E584</f>
        <v>0</v>
      </c>
      <c r="I584" s="786">
        <f>+J531*G584+E584</f>
        <v>0</v>
      </c>
      <c r="J584" s="783">
        <f t="shared" si="51"/>
        <v>0</v>
      </c>
      <c r="K584" s="783"/>
      <c r="L584" s="1304"/>
      <c r="M584" s="783">
        <f t="shared" si="45"/>
        <v>0</v>
      </c>
      <c r="N584" s="1304"/>
      <c r="O584" s="783">
        <f t="shared" si="46"/>
        <v>0</v>
      </c>
      <c r="P584" s="783">
        <f t="shared" si="47"/>
        <v>0</v>
      </c>
    </row>
    <row r="585" spans="3:16">
      <c r="C585" s="779">
        <f>IF(D529="","-",+C584+1)</f>
        <v>2066</v>
      </c>
      <c r="D585" s="727">
        <f t="shared" si="48"/>
        <v>0</v>
      </c>
      <c r="E585" s="780">
        <f t="shared" si="50"/>
        <v>0</v>
      </c>
      <c r="F585" s="780">
        <f t="shared" si="44"/>
        <v>0</v>
      </c>
      <c r="G585" s="727">
        <f t="shared" si="49"/>
        <v>0</v>
      </c>
      <c r="H585" s="785">
        <f>+J530*G585+E585</f>
        <v>0</v>
      </c>
      <c r="I585" s="786">
        <f>+J531*G585+E585</f>
        <v>0</v>
      </c>
      <c r="J585" s="783">
        <f t="shared" si="51"/>
        <v>0</v>
      </c>
      <c r="K585" s="783"/>
      <c r="L585" s="1304"/>
      <c r="M585" s="783">
        <f t="shared" si="45"/>
        <v>0</v>
      </c>
      <c r="N585" s="1304"/>
      <c r="O585" s="783">
        <f t="shared" si="46"/>
        <v>0</v>
      </c>
      <c r="P585" s="783">
        <f t="shared" si="47"/>
        <v>0</v>
      </c>
    </row>
    <row r="586" spans="3:16">
      <c r="C586" s="779">
        <f>IF(D529="","-",+C585+1)</f>
        <v>2067</v>
      </c>
      <c r="D586" s="727">
        <f t="shared" si="48"/>
        <v>0</v>
      </c>
      <c r="E586" s="780">
        <f t="shared" si="50"/>
        <v>0</v>
      </c>
      <c r="F586" s="780">
        <f t="shared" si="44"/>
        <v>0</v>
      </c>
      <c r="G586" s="727">
        <f t="shared" si="49"/>
        <v>0</v>
      </c>
      <c r="H586" s="785">
        <f>+J530*G586+E586</f>
        <v>0</v>
      </c>
      <c r="I586" s="786">
        <f>+J531*G586+E586</f>
        <v>0</v>
      </c>
      <c r="J586" s="783">
        <f t="shared" si="51"/>
        <v>0</v>
      </c>
      <c r="K586" s="783"/>
      <c r="L586" s="1304"/>
      <c r="M586" s="783">
        <f t="shared" si="45"/>
        <v>0</v>
      </c>
      <c r="N586" s="1304"/>
      <c r="O586" s="783">
        <f t="shared" si="46"/>
        <v>0</v>
      </c>
      <c r="P586" s="783">
        <f t="shared" si="47"/>
        <v>0</v>
      </c>
    </row>
    <row r="587" spans="3:16">
      <c r="C587" s="779">
        <f>IF(D529="","-",+C586+1)</f>
        <v>2068</v>
      </c>
      <c r="D587" s="727">
        <f t="shared" si="48"/>
        <v>0</v>
      </c>
      <c r="E587" s="780">
        <f t="shared" si="50"/>
        <v>0</v>
      </c>
      <c r="F587" s="780">
        <f t="shared" si="44"/>
        <v>0</v>
      </c>
      <c r="G587" s="727">
        <f t="shared" si="49"/>
        <v>0</v>
      </c>
      <c r="H587" s="785">
        <f>+J530*G587+E587</f>
        <v>0</v>
      </c>
      <c r="I587" s="786">
        <f>+J531*G587+E587</f>
        <v>0</v>
      </c>
      <c r="J587" s="783">
        <f t="shared" si="51"/>
        <v>0</v>
      </c>
      <c r="K587" s="783"/>
      <c r="L587" s="1304"/>
      <c r="M587" s="783">
        <f t="shared" si="45"/>
        <v>0</v>
      </c>
      <c r="N587" s="1304"/>
      <c r="O587" s="783">
        <f t="shared" si="46"/>
        <v>0</v>
      </c>
      <c r="P587" s="783">
        <f t="shared" si="47"/>
        <v>0</v>
      </c>
    </row>
    <row r="588" spans="3:16">
      <c r="C588" s="779">
        <f>IF(D529="","-",+C587+1)</f>
        <v>2069</v>
      </c>
      <c r="D588" s="727">
        <f t="shared" si="48"/>
        <v>0</v>
      </c>
      <c r="E588" s="780">
        <f t="shared" si="50"/>
        <v>0</v>
      </c>
      <c r="F588" s="780">
        <f t="shared" si="44"/>
        <v>0</v>
      </c>
      <c r="G588" s="727">
        <f t="shared" si="49"/>
        <v>0</v>
      </c>
      <c r="H588" s="785">
        <f>+J530*G588+E588</f>
        <v>0</v>
      </c>
      <c r="I588" s="786">
        <f>+J531*G588+E588</f>
        <v>0</v>
      </c>
      <c r="J588" s="783">
        <f t="shared" si="51"/>
        <v>0</v>
      </c>
      <c r="K588" s="783"/>
      <c r="L588" s="1304"/>
      <c r="M588" s="783">
        <f t="shared" si="45"/>
        <v>0</v>
      </c>
      <c r="N588" s="1304"/>
      <c r="O588" s="783">
        <f t="shared" si="46"/>
        <v>0</v>
      </c>
      <c r="P588" s="783">
        <f t="shared" si="47"/>
        <v>0</v>
      </c>
    </row>
    <row r="589" spans="3:16">
      <c r="C589" s="779">
        <f>IF(D529="","-",+C588+1)</f>
        <v>2070</v>
      </c>
      <c r="D589" s="727">
        <f t="shared" ref="D589:D594" si="52">F588</f>
        <v>0</v>
      </c>
      <c r="E589" s="780">
        <f t="shared" si="50"/>
        <v>0</v>
      </c>
      <c r="F589" s="780">
        <f t="shared" si="44"/>
        <v>0</v>
      </c>
      <c r="G589" s="727">
        <f t="shared" si="49"/>
        <v>0</v>
      </c>
      <c r="H589" s="785">
        <f>+J530*G589+E589</f>
        <v>0</v>
      </c>
      <c r="I589" s="786">
        <f>+J531*G589+E589</f>
        <v>0</v>
      </c>
      <c r="J589" s="783">
        <f t="shared" si="51"/>
        <v>0</v>
      </c>
      <c r="K589" s="783"/>
      <c r="L589" s="1304"/>
      <c r="M589" s="783">
        <f t="shared" si="45"/>
        <v>0</v>
      </c>
      <c r="N589" s="1304"/>
      <c r="O589" s="783">
        <f t="shared" si="46"/>
        <v>0</v>
      </c>
      <c r="P589" s="783">
        <f t="shared" si="47"/>
        <v>0</v>
      </c>
    </row>
    <row r="590" spans="3:16">
      <c r="C590" s="779">
        <f>IF(D529="","-",+C589+1)</f>
        <v>2071</v>
      </c>
      <c r="D590" s="727">
        <f t="shared" si="52"/>
        <v>0</v>
      </c>
      <c r="E590" s="780">
        <f t="shared" si="50"/>
        <v>0</v>
      </c>
      <c r="F590" s="780">
        <f t="shared" si="44"/>
        <v>0</v>
      </c>
      <c r="G590" s="727">
        <f t="shared" si="49"/>
        <v>0</v>
      </c>
      <c r="H590" s="785">
        <f>+J530*G590+E590</f>
        <v>0</v>
      </c>
      <c r="I590" s="786">
        <f>+J531*G590+E590</f>
        <v>0</v>
      </c>
      <c r="J590" s="783">
        <f t="shared" si="51"/>
        <v>0</v>
      </c>
      <c r="K590" s="783"/>
      <c r="L590" s="1304"/>
      <c r="M590" s="783">
        <f t="shared" si="45"/>
        <v>0</v>
      </c>
      <c r="N590" s="1304"/>
      <c r="O590" s="783">
        <f t="shared" si="46"/>
        <v>0</v>
      </c>
      <c r="P590" s="783">
        <f t="shared" si="47"/>
        <v>0</v>
      </c>
    </row>
    <row r="591" spans="3:16">
      <c r="C591" s="779">
        <f>IF(D529="","-",+C590+1)</f>
        <v>2072</v>
      </c>
      <c r="D591" s="727">
        <f t="shared" si="52"/>
        <v>0</v>
      </c>
      <c r="E591" s="780">
        <f t="shared" si="50"/>
        <v>0</v>
      </c>
      <c r="F591" s="780">
        <f t="shared" si="44"/>
        <v>0</v>
      </c>
      <c r="G591" s="727">
        <f t="shared" si="49"/>
        <v>0</v>
      </c>
      <c r="H591" s="785">
        <f>+J530*G591+E591</f>
        <v>0</v>
      </c>
      <c r="I591" s="786">
        <f>+J531*G591+E591</f>
        <v>0</v>
      </c>
      <c r="J591" s="783">
        <f t="shared" si="51"/>
        <v>0</v>
      </c>
      <c r="K591" s="783"/>
      <c r="L591" s="1304"/>
      <c r="M591" s="783">
        <f t="shared" si="45"/>
        <v>0</v>
      </c>
      <c r="N591" s="1304"/>
      <c r="O591" s="783">
        <f t="shared" si="46"/>
        <v>0</v>
      </c>
      <c r="P591" s="783">
        <f t="shared" si="47"/>
        <v>0</v>
      </c>
    </row>
    <row r="592" spans="3:16">
      <c r="C592" s="779">
        <f>IF(D529="","-",+C591+1)</f>
        <v>2073</v>
      </c>
      <c r="D592" s="727">
        <f t="shared" si="52"/>
        <v>0</v>
      </c>
      <c r="E592" s="780">
        <f t="shared" si="50"/>
        <v>0</v>
      </c>
      <c r="F592" s="780">
        <f t="shared" si="44"/>
        <v>0</v>
      </c>
      <c r="G592" s="727">
        <f t="shared" si="49"/>
        <v>0</v>
      </c>
      <c r="H592" s="785">
        <f>+J530*G592+E592</f>
        <v>0</v>
      </c>
      <c r="I592" s="786">
        <f>+J531*G592+E592</f>
        <v>0</v>
      </c>
      <c r="J592" s="783">
        <f t="shared" si="51"/>
        <v>0</v>
      </c>
      <c r="K592" s="783"/>
      <c r="L592" s="1304"/>
      <c r="M592" s="783">
        <f t="shared" si="45"/>
        <v>0</v>
      </c>
      <c r="N592" s="1304"/>
      <c r="O592" s="783">
        <f t="shared" si="46"/>
        <v>0</v>
      </c>
      <c r="P592" s="783">
        <f t="shared" si="47"/>
        <v>0</v>
      </c>
    </row>
    <row r="593" spans="1:17">
      <c r="C593" s="779">
        <f>IF(D529="","-",+C592+1)</f>
        <v>2074</v>
      </c>
      <c r="D593" s="727">
        <f t="shared" si="52"/>
        <v>0</v>
      </c>
      <c r="E593" s="780">
        <f t="shared" si="50"/>
        <v>0</v>
      </c>
      <c r="F593" s="780">
        <f t="shared" si="44"/>
        <v>0</v>
      </c>
      <c r="G593" s="727">
        <f t="shared" si="49"/>
        <v>0</v>
      </c>
      <c r="H593" s="785">
        <f>+J530*G593+E593</f>
        <v>0</v>
      </c>
      <c r="I593" s="786">
        <f>+J531*G593+E593</f>
        <v>0</v>
      </c>
      <c r="J593" s="783">
        <f t="shared" si="51"/>
        <v>0</v>
      </c>
      <c r="K593" s="783"/>
      <c r="L593" s="1304"/>
      <c r="M593" s="783">
        <f t="shared" si="45"/>
        <v>0</v>
      </c>
      <c r="N593" s="1304"/>
      <c r="O593" s="783">
        <f t="shared" si="46"/>
        <v>0</v>
      </c>
      <c r="P593" s="783">
        <f t="shared" si="47"/>
        <v>0</v>
      </c>
    </row>
    <row r="594" spans="1:17" ht="13.5" thickBot="1">
      <c r="C594" s="789">
        <f>IF(D529="","-",+C593+1)</f>
        <v>2075</v>
      </c>
      <c r="D594" s="790">
        <f t="shared" si="52"/>
        <v>0</v>
      </c>
      <c r="E594" s="791">
        <f t="shared" si="50"/>
        <v>0</v>
      </c>
      <c r="F594" s="791">
        <f t="shared" si="44"/>
        <v>0</v>
      </c>
      <c r="G594" s="790">
        <f t="shared" si="49"/>
        <v>0</v>
      </c>
      <c r="H594" s="792">
        <f>+J530*G594+E594</f>
        <v>0</v>
      </c>
      <c r="I594" s="792">
        <f>+J531*G594+E594</f>
        <v>0</v>
      </c>
      <c r="J594" s="793">
        <f t="shared" si="51"/>
        <v>0</v>
      </c>
      <c r="K594" s="783"/>
      <c r="L594" s="1305"/>
      <c r="M594" s="793">
        <f t="shared" si="45"/>
        <v>0</v>
      </c>
      <c r="N594" s="1305"/>
      <c r="O594" s="793">
        <f t="shared" si="46"/>
        <v>0</v>
      </c>
      <c r="P594" s="793">
        <f t="shared" si="47"/>
        <v>0</v>
      </c>
    </row>
    <row r="595" spans="1:17">
      <c r="C595" s="727" t="s">
        <v>93</v>
      </c>
      <c r="D595" s="721"/>
      <c r="E595" s="721">
        <f>SUM(E535:E594)</f>
        <v>52217631.810000002</v>
      </c>
      <c r="F595" s="721"/>
      <c r="G595" s="721"/>
      <c r="H595" s="721">
        <f>SUM(H535:H594)</f>
        <v>166176102.68708444</v>
      </c>
      <c r="I595" s="721">
        <f>SUM(I535:I594)</f>
        <v>166176102.68708444</v>
      </c>
      <c r="J595" s="721">
        <f>SUM(J535:J594)</f>
        <v>0</v>
      </c>
      <c r="K595" s="721"/>
      <c r="L595" s="721"/>
      <c r="M595" s="721"/>
      <c r="N595" s="721"/>
      <c r="O595" s="721"/>
    </row>
    <row r="596" spans="1:17">
      <c r="D596" s="529"/>
      <c r="E596" s="308"/>
      <c r="F596" s="308"/>
      <c r="G596" s="308"/>
      <c r="H596" s="308"/>
      <c r="I596" s="699"/>
      <c r="J596" s="699"/>
      <c r="K596" s="721"/>
      <c r="L596" s="699"/>
      <c r="M596" s="699"/>
      <c r="N596" s="699"/>
      <c r="O596" s="699"/>
    </row>
    <row r="597" spans="1:17">
      <c r="C597" s="308" t="s">
        <v>15</v>
      </c>
      <c r="D597" s="529"/>
      <c r="E597" s="308"/>
      <c r="F597" s="308"/>
      <c r="G597" s="308"/>
      <c r="H597" s="308"/>
      <c r="I597" s="699"/>
      <c r="J597" s="699"/>
      <c r="K597" s="721"/>
      <c r="L597" s="699"/>
      <c r="M597" s="699"/>
      <c r="N597" s="699"/>
      <c r="O597" s="699"/>
    </row>
    <row r="598" spans="1:17">
      <c r="C598" s="308"/>
      <c r="D598" s="529"/>
      <c r="E598" s="308"/>
      <c r="F598" s="308"/>
      <c r="G598" s="308"/>
      <c r="H598" s="308"/>
      <c r="I598" s="699"/>
      <c r="J598" s="699"/>
      <c r="K598" s="721"/>
      <c r="L598" s="699"/>
      <c r="M598" s="699"/>
      <c r="N598" s="699"/>
      <c r="O598" s="699"/>
    </row>
    <row r="599" spans="1:17">
      <c r="C599" s="740" t="s">
        <v>16</v>
      </c>
      <c r="D599" s="727"/>
      <c r="E599" s="727"/>
      <c r="F599" s="727"/>
      <c r="G599" s="727"/>
      <c r="H599" s="721"/>
      <c r="I599" s="721"/>
      <c r="J599" s="795"/>
      <c r="K599" s="795"/>
      <c r="L599" s="795"/>
      <c r="M599" s="795"/>
      <c r="N599" s="795"/>
      <c r="O599" s="795"/>
    </row>
    <row r="600" spans="1:17">
      <c r="C600" s="726" t="s">
        <v>273</v>
      </c>
      <c r="D600" s="727"/>
      <c r="E600" s="727"/>
      <c r="F600" s="727"/>
      <c r="G600" s="727"/>
      <c r="H600" s="721"/>
      <c r="I600" s="721"/>
      <c r="J600" s="795"/>
      <c r="K600" s="795"/>
      <c r="L600" s="795"/>
      <c r="M600" s="795"/>
      <c r="N600" s="795"/>
      <c r="O600" s="795"/>
    </row>
    <row r="601" spans="1:17">
      <c r="C601" s="726" t="s">
        <v>94</v>
      </c>
      <c r="D601" s="727"/>
      <c r="E601" s="727"/>
      <c r="F601" s="727"/>
      <c r="G601" s="727"/>
      <c r="H601" s="721"/>
      <c r="I601" s="721"/>
      <c r="J601" s="795"/>
      <c r="K601" s="795"/>
      <c r="L601" s="795"/>
      <c r="M601" s="795"/>
      <c r="N601" s="795"/>
      <c r="O601" s="795"/>
    </row>
    <row r="602" spans="1:17">
      <c r="C602" s="726"/>
      <c r="D602" s="727"/>
      <c r="E602" s="727"/>
      <c r="F602" s="727"/>
      <c r="G602" s="727"/>
      <c r="H602" s="721"/>
      <c r="I602" s="721"/>
      <c r="J602" s="795"/>
      <c r="K602" s="795"/>
      <c r="L602" s="795"/>
      <c r="M602" s="795"/>
      <c r="N602" s="795"/>
      <c r="O602" s="795"/>
    </row>
    <row r="603" spans="1:17" ht="20.25">
      <c r="A603" s="728" t="str">
        <f>""&amp;A524&amp;" Worksheet K -  ATRR TRUE-UP Calculation for PJM Projects Charged to Benefiting Zones"</f>
        <v xml:space="preserve"> Worksheet K -  ATRR TRUE-UP Calculation for PJM Projects Charged to Benefiting Zones</v>
      </c>
      <c r="B603" s="341"/>
      <c r="C603" s="716"/>
      <c r="D603" s="529"/>
      <c r="E603" s="308"/>
      <c r="F603" s="698"/>
      <c r="G603" s="698"/>
      <c r="H603" s="308"/>
      <c r="I603" s="699"/>
      <c r="L603" s="555"/>
      <c r="M603" s="555"/>
      <c r="N603" s="555"/>
      <c r="O603" s="644" t="str">
        <f>"Page "&amp;SUM(Q$8:Q603)&amp;" of "</f>
        <v xml:space="preserve">Page 7 of </v>
      </c>
      <c r="P603" s="645">
        <f>COUNT(Q$8:Q$56657)</f>
        <v>10</v>
      </c>
      <c r="Q603" s="172">
        <v>1</v>
      </c>
    </row>
    <row r="604" spans="1:17">
      <c r="B604" s="341"/>
      <c r="C604" s="308"/>
      <c r="D604" s="529"/>
      <c r="E604" s="308"/>
      <c r="F604" s="308"/>
      <c r="G604" s="308"/>
      <c r="H604" s="308"/>
      <c r="I604" s="699"/>
      <c r="J604" s="308"/>
      <c r="K604" s="418"/>
    </row>
    <row r="605" spans="1:17" ht="18">
      <c r="B605" s="648" t="s">
        <v>474</v>
      </c>
      <c r="C605" s="730" t="s">
        <v>95</v>
      </c>
      <c r="D605" s="529"/>
      <c r="E605" s="308"/>
      <c r="F605" s="308"/>
      <c r="G605" s="308"/>
      <c r="H605" s="308"/>
      <c r="I605" s="699"/>
      <c r="J605" s="699"/>
      <c r="K605" s="721"/>
      <c r="L605" s="699"/>
      <c r="M605" s="699"/>
      <c r="N605" s="699"/>
      <c r="O605" s="699"/>
    </row>
    <row r="606" spans="1:17" ht="18.75">
      <c r="B606" s="648"/>
      <c r="C606" s="647"/>
      <c r="D606" s="529"/>
      <c r="E606" s="308"/>
      <c r="F606" s="308"/>
      <c r="G606" s="308"/>
      <c r="H606" s="308"/>
      <c r="I606" s="699"/>
      <c r="J606" s="699"/>
      <c r="K606" s="721"/>
      <c r="L606" s="699"/>
      <c r="M606" s="699"/>
      <c r="N606" s="699"/>
      <c r="O606" s="699"/>
    </row>
    <row r="607" spans="1:17" ht="18.75">
      <c r="B607" s="648"/>
      <c r="C607" s="647" t="s">
        <v>96</v>
      </c>
      <c r="D607" s="529"/>
      <c r="E607" s="308"/>
      <c r="F607" s="308"/>
      <c r="G607" s="308"/>
      <c r="H607" s="308"/>
      <c r="I607" s="699"/>
      <c r="J607" s="699"/>
      <c r="K607" s="721"/>
      <c r="L607" s="699"/>
      <c r="M607" s="699"/>
      <c r="N607" s="699"/>
      <c r="O607" s="699"/>
    </row>
    <row r="608" spans="1:17" ht="15.75" thickBot="1">
      <c r="C608" s="239"/>
      <c r="D608" s="529"/>
      <c r="E608" s="308"/>
      <c r="F608" s="308"/>
      <c r="G608" s="308"/>
      <c r="H608" s="308"/>
      <c r="I608" s="699"/>
      <c r="J608" s="699"/>
      <c r="K608" s="721"/>
      <c r="L608" s="699"/>
      <c r="M608" s="699"/>
      <c r="N608" s="699"/>
      <c r="O608" s="699"/>
    </row>
    <row r="609" spans="1:16" ht="15.75">
      <c r="C609" s="650" t="s">
        <v>97</v>
      </c>
      <c r="D609" s="529"/>
      <c r="E609" s="308"/>
      <c r="F609" s="308"/>
      <c r="G609" s="308"/>
      <c r="H609" s="797"/>
      <c r="I609" s="308" t="s">
        <v>76</v>
      </c>
      <c r="J609" s="308"/>
      <c r="K609" s="418"/>
      <c r="L609" s="826">
        <f>+J615</f>
        <v>2022</v>
      </c>
      <c r="M609" s="807" t="s">
        <v>54</v>
      </c>
      <c r="N609" s="807" t="s">
        <v>55</v>
      </c>
      <c r="O609" s="808" t="s">
        <v>57</v>
      </c>
    </row>
    <row r="610" spans="1:16" ht="15.75">
      <c r="C610" s="650"/>
      <c r="D610" s="529"/>
      <c r="E610" s="308"/>
      <c r="F610" s="308"/>
      <c r="H610" s="308"/>
      <c r="I610" s="735"/>
      <c r="J610" s="735"/>
      <c r="K610" s="736"/>
      <c r="L610" s="827" t="s">
        <v>245</v>
      </c>
      <c r="M610" s="828">
        <f>VLOOKUP(J615,C622:P681,10)</f>
        <v>6231587.9651845628</v>
      </c>
      <c r="N610" s="828">
        <f>VLOOKUP(J615,C622:P681,12)</f>
        <v>6231587.9651845628</v>
      </c>
      <c r="O610" s="829">
        <f>+N610-M610</f>
        <v>0</v>
      </c>
    </row>
    <row r="611" spans="1:16" ht="12.95" customHeight="1">
      <c r="C611" s="740" t="s">
        <v>98</v>
      </c>
      <c r="D611" s="1553" t="s">
        <v>823</v>
      </c>
      <c r="E611" s="1553"/>
      <c r="F611" s="1553"/>
      <c r="G611" s="1553"/>
      <c r="H611" s="1553"/>
      <c r="I611" s="1553"/>
      <c r="J611" s="699"/>
      <c r="K611" s="721"/>
      <c r="L611" s="827" t="s">
        <v>246</v>
      </c>
      <c r="M611" s="830">
        <f>VLOOKUP(J615,C622:P681,6)</f>
        <v>6272410.1801862344</v>
      </c>
      <c r="N611" s="830">
        <f>VLOOKUP(J615,C622:P681,7)</f>
        <v>6272410.1801862344</v>
      </c>
      <c r="O611" s="831">
        <f>+N611-M611</f>
        <v>0</v>
      </c>
    </row>
    <row r="612" spans="1:16" ht="13.5" thickBot="1">
      <c r="C612" s="744"/>
      <c r="D612" s="1553"/>
      <c r="E612" s="1553"/>
      <c r="F612" s="1553"/>
      <c r="G612" s="1553"/>
      <c r="H612" s="1553"/>
      <c r="I612" s="1553"/>
      <c r="J612" s="699"/>
      <c r="K612" s="721"/>
      <c r="L612" s="763" t="s">
        <v>247</v>
      </c>
      <c r="M612" s="832">
        <f>+M611-M610</f>
        <v>40822.215001671575</v>
      </c>
      <c r="N612" s="832">
        <f>+N611-N610</f>
        <v>40822.215001671575</v>
      </c>
      <c r="O612" s="833">
        <f>+O611-O610</f>
        <v>0</v>
      </c>
    </row>
    <row r="613" spans="1:16" ht="13.5" thickBot="1">
      <c r="C613" s="747"/>
      <c r="D613" s="748"/>
      <c r="E613" s="746"/>
      <c r="F613" s="746"/>
      <c r="G613" s="746"/>
      <c r="H613" s="746"/>
      <c r="I613" s="746"/>
      <c r="J613" s="746"/>
      <c r="K613" s="749"/>
      <c r="L613" s="746"/>
      <c r="M613" s="746"/>
      <c r="N613" s="746"/>
      <c r="O613" s="746"/>
      <c r="P613" s="341"/>
    </row>
    <row r="614" spans="1:16" ht="13.5" thickBot="1">
      <c r="C614" s="750" t="s">
        <v>99</v>
      </c>
      <c r="D614" s="751"/>
      <c r="E614" s="751"/>
      <c r="F614" s="751"/>
      <c r="G614" s="751"/>
      <c r="H614" s="751"/>
      <c r="I614" s="751"/>
      <c r="J614" s="751"/>
      <c r="K614" s="753"/>
      <c r="P614" s="754"/>
    </row>
    <row r="615" spans="1:16" ht="15">
      <c r="A615" s="1331"/>
      <c r="C615" s="755" t="s">
        <v>77</v>
      </c>
      <c r="D615" s="799">
        <v>50142658.399999999</v>
      </c>
      <c r="E615" s="716" t="s">
        <v>78</v>
      </c>
      <c r="H615" s="756"/>
      <c r="I615" s="756"/>
      <c r="J615" s="757">
        <f>$J$93</f>
        <v>2022</v>
      </c>
      <c r="K615" s="545"/>
      <c r="L615" s="1554" t="s">
        <v>79</v>
      </c>
      <c r="M615" s="1554"/>
      <c r="N615" s="1554"/>
      <c r="O615" s="1554"/>
      <c r="P615" s="418"/>
    </row>
    <row r="616" spans="1:16">
      <c r="C616" s="755" t="s">
        <v>80</v>
      </c>
      <c r="D616" s="1301">
        <v>2016</v>
      </c>
      <c r="E616" s="755" t="s">
        <v>81</v>
      </c>
      <c r="F616" s="756"/>
      <c r="G616" s="756"/>
      <c r="I616" s="172"/>
      <c r="J616" s="801">
        <f>IF(H609="",0,$F$17)</f>
        <v>0</v>
      </c>
      <c r="K616" s="758"/>
      <c r="L616" s="721" t="s">
        <v>287</v>
      </c>
      <c r="P616" s="418"/>
    </row>
    <row r="617" spans="1:16">
      <c r="C617" s="755" t="s">
        <v>82</v>
      </c>
      <c r="D617" s="799">
        <v>12</v>
      </c>
      <c r="E617" s="755" t="s">
        <v>83</v>
      </c>
      <c r="F617" s="756"/>
      <c r="G617" s="756"/>
      <c r="I617" s="172"/>
      <c r="J617" s="759">
        <f>$F$70</f>
        <v>0.11486185889303469</v>
      </c>
      <c r="K617" s="760"/>
      <c r="L617" s="308" t="str">
        <f>"          INPUT TRUE-UP ARR (WITH &amp; WITHOUT INCENTIVES) FROM EACH PRIOR YEAR"</f>
        <v xml:space="preserve">          INPUT TRUE-UP ARR (WITH &amp; WITHOUT INCENTIVES) FROM EACH PRIOR YEAR</v>
      </c>
      <c r="P617" s="418"/>
    </row>
    <row r="618" spans="1:16">
      <c r="C618" s="755" t="s">
        <v>84</v>
      </c>
      <c r="D618" s="761">
        <f>H$79</f>
        <v>36</v>
      </c>
      <c r="E618" s="755" t="s">
        <v>85</v>
      </c>
      <c r="F618" s="756"/>
      <c r="G618" s="756"/>
      <c r="I618" s="172"/>
      <c r="J618" s="759">
        <f>IF(H609="",+J617,$F$69)</f>
        <v>0.11486185889303469</v>
      </c>
      <c r="K618" s="762"/>
      <c r="L618" s="308" t="s">
        <v>167</v>
      </c>
      <c r="M618" s="762"/>
      <c r="N618" s="762"/>
      <c r="O618" s="762"/>
      <c r="P618" s="418"/>
    </row>
    <row r="619" spans="1:16" ht="13.5" thickBot="1">
      <c r="C619" s="755" t="s">
        <v>86</v>
      </c>
      <c r="D619" s="1322" t="s">
        <v>814</v>
      </c>
      <c r="E619" s="763" t="s">
        <v>87</v>
      </c>
      <c r="F619" s="764"/>
      <c r="G619" s="764"/>
      <c r="H619" s="765"/>
      <c r="I619" s="765"/>
      <c r="J619" s="743">
        <f>IF(D615=0,0,D615/D618)</f>
        <v>1392851.6222222222</v>
      </c>
      <c r="K619" s="721"/>
      <c r="L619" s="721" t="s">
        <v>168</v>
      </c>
      <c r="M619" s="721"/>
      <c r="N619" s="721"/>
      <c r="O619" s="721"/>
      <c r="P619" s="418"/>
    </row>
    <row r="620" spans="1:16" ht="38.25">
      <c r="B620" s="836"/>
      <c r="C620" s="766" t="s">
        <v>77</v>
      </c>
      <c r="D620" s="767" t="s">
        <v>88</v>
      </c>
      <c r="E620" s="768" t="s">
        <v>89</v>
      </c>
      <c r="F620" s="767" t="s">
        <v>90</v>
      </c>
      <c r="G620" s="767" t="s">
        <v>248</v>
      </c>
      <c r="H620" s="768" t="s">
        <v>161</v>
      </c>
      <c r="I620" s="769" t="s">
        <v>161</v>
      </c>
      <c r="J620" s="766" t="s">
        <v>100</v>
      </c>
      <c r="K620" s="770"/>
      <c r="L620" s="768" t="s">
        <v>163</v>
      </c>
      <c r="M620" s="768" t="s">
        <v>169</v>
      </c>
      <c r="N620" s="768" t="s">
        <v>163</v>
      </c>
      <c r="O620" s="768" t="s">
        <v>171</v>
      </c>
      <c r="P620" s="768" t="s">
        <v>91</v>
      </c>
    </row>
    <row r="621" spans="1:16" ht="13.5" thickBot="1">
      <c r="C621" s="772" t="s">
        <v>477</v>
      </c>
      <c r="D621" s="773" t="s">
        <v>478</v>
      </c>
      <c r="E621" s="772" t="s">
        <v>371</v>
      </c>
      <c r="F621" s="773" t="s">
        <v>478</v>
      </c>
      <c r="G621" s="773" t="s">
        <v>478</v>
      </c>
      <c r="H621" s="774" t="s">
        <v>103</v>
      </c>
      <c r="I621" s="775" t="s">
        <v>105</v>
      </c>
      <c r="J621" s="776" t="s">
        <v>17</v>
      </c>
      <c r="K621" s="777"/>
      <c r="L621" s="774" t="s">
        <v>92</v>
      </c>
      <c r="M621" s="774" t="s">
        <v>92</v>
      </c>
      <c r="N621" s="774" t="s">
        <v>265</v>
      </c>
      <c r="O621" s="774" t="s">
        <v>265</v>
      </c>
      <c r="P621" s="774" t="s">
        <v>265</v>
      </c>
    </row>
    <row r="622" spans="1:16">
      <c r="C622" s="779">
        <f>IF(D616= "","-",D616)</f>
        <v>2016</v>
      </c>
      <c r="D622" s="727">
        <f>+D615</f>
        <v>50142658.399999999</v>
      </c>
      <c r="E622" s="785">
        <f>+J619/12*(12-D617)</f>
        <v>0</v>
      </c>
      <c r="F622" s="834">
        <f t="shared" ref="F622:F681" si="53">+D622-E622</f>
        <v>50142658.399999999</v>
      </c>
      <c r="G622" s="727">
        <f>+(D622+F622)/2</f>
        <v>50142658.399999999</v>
      </c>
      <c r="H622" s="781">
        <f>+J617*G622+E622</f>
        <v>5759478.9536624402</v>
      </c>
      <c r="I622" s="782">
        <f>+J618*G622+E622</f>
        <v>5759478.9536624402</v>
      </c>
      <c r="J622" s="783">
        <f>+I622-H622</f>
        <v>0</v>
      </c>
      <c r="K622" s="783"/>
      <c r="L622" s="1303">
        <v>4514116</v>
      </c>
      <c r="M622" s="835">
        <f t="shared" ref="M622:M681" si="54">IF(L622&lt;&gt;0,+H622-L622,0)</f>
        <v>1245362.9536624402</v>
      </c>
      <c r="N622" s="1303">
        <v>4514116</v>
      </c>
      <c r="O622" s="835">
        <f t="shared" ref="O622:O681" si="55">IF(N622&lt;&gt;0,+I622-N622,0)</f>
        <v>1245362.9536624402</v>
      </c>
      <c r="P622" s="835">
        <f t="shared" ref="P622:P681" si="56">+O622-M622</f>
        <v>0</v>
      </c>
    </row>
    <row r="623" spans="1:16">
      <c r="C623" s="779">
        <f>IF(D616="","-",+C622+1)</f>
        <v>2017</v>
      </c>
      <c r="D623" s="727">
        <f t="shared" ref="D623:D675" si="57">F622</f>
        <v>50142658.399999999</v>
      </c>
      <c r="E623" s="780">
        <f>IF(D623&gt;$J$619,$J$619,D623)</f>
        <v>1392851.6222222222</v>
      </c>
      <c r="F623" s="780">
        <f t="shared" si="53"/>
        <v>48749806.777777776</v>
      </c>
      <c r="G623" s="727">
        <f t="shared" ref="G623:G681" si="58">+(D623+F623)/2</f>
        <v>49446232.588888884</v>
      </c>
      <c r="H623" s="785">
        <f>+J617*G623+E623</f>
        <v>7072337.8126393501</v>
      </c>
      <c r="I623" s="786">
        <f>+J618*G623+E623</f>
        <v>7072337.8126393501</v>
      </c>
      <c r="J623" s="783">
        <f>+I623-H623</f>
        <v>0</v>
      </c>
      <c r="K623" s="783"/>
      <c r="L623" s="1304">
        <v>7261914</v>
      </c>
      <c r="M623" s="783">
        <f t="shared" si="54"/>
        <v>-189576.18736064993</v>
      </c>
      <c r="N623" s="1304">
        <v>7261914</v>
      </c>
      <c r="O623" s="783">
        <f t="shared" si="55"/>
        <v>-189576.18736064993</v>
      </c>
      <c r="P623" s="783">
        <f t="shared" si="56"/>
        <v>0</v>
      </c>
    </row>
    <row r="624" spans="1:16">
      <c r="C624" s="779">
        <f>IF(D616="","-",+C623+1)</f>
        <v>2018</v>
      </c>
      <c r="D624" s="1393">
        <f t="shared" si="57"/>
        <v>48749806.777777776</v>
      </c>
      <c r="E624" s="780">
        <f t="shared" ref="E624:E681" si="59">IF(D624&gt;$J$619,$J$619,D624)</f>
        <v>1392851.6222222222</v>
      </c>
      <c r="F624" s="780">
        <f t="shared" si="53"/>
        <v>47356955.155555554</v>
      </c>
      <c r="G624" s="727">
        <f t="shared" si="58"/>
        <v>48053380.966666669</v>
      </c>
      <c r="H624" s="785">
        <f>+J617*G624+E624</f>
        <v>6912352.2861487279</v>
      </c>
      <c r="I624" s="786">
        <f>+J618*G624+E624</f>
        <v>6912352.2861487279</v>
      </c>
      <c r="J624" s="783">
        <f t="shared" ref="J624:J681" si="60">+I624-H624</f>
        <v>0</v>
      </c>
      <c r="K624" s="783"/>
      <c r="L624" s="1304">
        <v>5720037</v>
      </c>
      <c r="M624" s="783">
        <f t="shared" si="54"/>
        <v>1192315.2861487279</v>
      </c>
      <c r="N624" s="1304">
        <v>5720037</v>
      </c>
      <c r="O624" s="783">
        <f t="shared" si="55"/>
        <v>1192315.2861487279</v>
      </c>
      <c r="P624" s="783">
        <f t="shared" si="56"/>
        <v>0</v>
      </c>
    </row>
    <row r="625" spans="3:16">
      <c r="C625" s="779">
        <f>IF(D616="","-",+C624+1)</f>
        <v>2019</v>
      </c>
      <c r="D625" s="727">
        <f t="shared" si="57"/>
        <v>47356955.155555554</v>
      </c>
      <c r="E625" s="780">
        <f t="shared" si="59"/>
        <v>1392851.6222222222</v>
      </c>
      <c r="F625" s="780">
        <f t="shared" si="53"/>
        <v>45964103.533333331</v>
      </c>
      <c r="G625" s="727">
        <f t="shared" si="58"/>
        <v>46660529.344444439</v>
      </c>
      <c r="H625" s="785">
        <f>+J617*G625+E625</f>
        <v>6752366.7596581038</v>
      </c>
      <c r="I625" s="786">
        <f>+J618*G625+E625</f>
        <v>6752366.7596581038</v>
      </c>
      <c r="J625" s="783">
        <f t="shared" si="60"/>
        <v>0</v>
      </c>
      <c r="K625" s="783"/>
      <c r="L625" s="1304">
        <v>6058461</v>
      </c>
      <c r="M625" s="783">
        <f t="shared" si="54"/>
        <v>693905.75965810381</v>
      </c>
      <c r="N625" s="1304">
        <v>6058461</v>
      </c>
      <c r="O625" s="783">
        <f t="shared" si="55"/>
        <v>693905.75965810381</v>
      </c>
      <c r="P625" s="783">
        <f t="shared" si="56"/>
        <v>0</v>
      </c>
    </row>
    <row r="626" spans="3:16">
      <c r="C626" s="779">
        <f>IF(D616="","-",+C625+1)</f>
        <v>2020</v>
      </c>
      <c r="D626" s="1323">
        <f t="shared" si="57"/>
        <v>45964103.533333331</v>
      </c>
      <c r="E626" s="780">
        <f t="shared" si="59"/>
        <v>1392851.6222222222</v>
      </c>
      <c r="F626" s="780">
        <f t="shared" si="53"/>
        <v>44571251.911111109</v>
      </c>
      <c r="G626" s="727">
        <f t="shared" si="58"/>
        <v>45267677.722222224</v>
      </c>
      <c r="H626" s="785">
        <f>+J617*G626+E626</f>
        <v>6592381.2331674816</v>
      </c>
      <c r="I626" s="786">
        <f>+J618*G626+E626</f>
        <v>6592381.2331674816</v>
      </c>
      <c r="J626" s="783">
        <f t="shared" si="60"/>
        <v>0</v>
      </c>
      <c r="K626" s="783"/>
      <c r="L626" s="1304">
        <v>6143739.6200183444</v>
      </c>
      <c r="M626" s="783">
        <f t="shared" si="54"/>
        <v>448641.61314913724</v>
      </c>
      <c r="N626" s="1304">
        <v>6143739.6200183444</v>
      </c>
      <c r="O626" s="783">
        <f t="shared" si="55"/>
        <v>448641.61314913724</v>
      </c>
      <c r="P626" s="783">
        <f t="shared" si="56"/>
        <v>0</v>
      </c>
    </row>
    <row r="627" spans="3:16">
      <c r="C627" s="779">
        <f>IF(D616="","-",+C626+1)</f>
        <v>2021</v>
      </c>
      <c r="D627" s="1323">
        <f t="shared" si="57"/>
        <v>44571251.911111109</v>
      </c>
      <c r="E627" s="780">
        <f t="shared" si="59"/>
        <v>1392851.6222222222</v>
      </c>
      <c r="F627" s="780">
        <f t="shared" si="53"/>
        <v>43178400.288888887</v>
      </c>
      <c r="G627" s="727">
        <f t="shared" si="58"/>
        <v>43874826.099999994</v>
      </c>
      <c r="H627" s="785">
        <f>+J617*G627+E627</f>
        <v>6432395.7066768566</v>
      </c>
      <c r="I627" s="786">
        <f>+J618*G627+E627</f>
        <v>6432395.7066768566</v>
      </c>
      <c r="J627" s="783">
        <f t="shared" si="60"/>
        <v>0</v>
      </c>
      <c r="K627" s="783"/>
      <c r="L627" s="1304">
        <v>6107452.5872625131</v>
      </c>
      <c r="M627" s="783">
        <f t="shared" si="54"/>
        <v>324943.1194143435</v>
      </c>
      <c r="N627" s="1304">
        <v>6107452.5872625131</v>
      </c>
      <c r="O627" s="783">
        <f t="shared" si="55"/>
        <v>324943.1194143435</v>
      </c>
      <c r="P627" s="783">
        <f t="shared" si="56"/>
        <v>0</v>
      </c>
    </row>
    <row r="628" spans="3:16">
      <c r="C628" s="779">
        <f>IF(D616="","-",+C627+1)</f>
        <v>2022</v>
      </c>
      <c r="D628" s="1323">
        <f t="shared" si="57"/>
        <v>43178400.288888887</v>
      </c>
      <c r="E628" s="780">
        <f t="shared" si="59"/>
        <v>1392851.6222222222</v>
      </c>
      <c r="F628" s="780">
        <f t="shared" si="53"/>
        <v>41785548.666666664</v>
      </c>
      <c r="G628" s="727">
        <f t="shared" si="58"/>
        <v>42481974.477777779</v>
      </c>
      <c r="H628" s="785">
        <f>+J617*G628+E628</f>
        <v>6272410.1801862344</v>
      </c>
      <c r="I628" s="786">
        <f>+J618*G628+E628</f>
        <v>6272410.1801862344</v>
      </c>
      <c r="J628" s="783">
        <f t="shared" si="60"/>
        <v>0</v>
      </c>
      <c r="K628" s="783"/>
      <c r="L628" s="1304">
        <v>6231587.9651845628</v>
      </c>
      <c r="M628" s="783">
        <f t="shared" si="54"/>
        <v>40822.215001671575</v>
      </c>
      <c r="N628" s="1304">
        <v>6231587.9651845628</v>
      </c>
      <c r="O628" s="783">
        <f t="shared" si="55"/>
        <v>40822.215001671575</v>
      </c>
      <c r="P628" s="783">
        <f t="shared" si="56"/>
        <v>0</v>
      </c>
    </row>
    <row r="629" spans="3:16">
      <c r="C629" s="779">
        <f>IF(D616="","-",+C628+1)</f>
        <v>2023</v>
      </c>
      <c r="D629" s="727">
        <f t="shared" si="57"/>
        <v>41785548.666666664</v>
      </c>
      <c r="E629" s="780">
        <f t="shared" si="59"/>
        <v>1392851.6222222222</v>
      </c>
      <c r="F629" s="780">
        <f t="shared" si="53"/>
        <v>40392697.044444442</v>
      </c>
      <c r="G629" s="727">
        <f t="shared" si="58"/>
        <v>41089122.855555549</v>
      </c>
      <c r="H629" s="785">
        <f>+J617*G629+E629</f>
        <v>6112424.6536956104</v>
      </c>
      <c r="I629" s="786">
        <f>+J618*G629+E629</f>
        <v>6112424.6536956104</v>
      </c>
      <c r="J629" s="783">
        <f t="shared" si="60"/>
        <v>0</v>
      </c>
      <c r="K629" s="783"/>
      <c r="L629" s="1304"/>
      <c r="M629" s="783">
        <f t="shared" si="54"/>
        <v>0</v>
      </c>
      <c r="N629" s="1304"/>
      <c r="O629" s="783">
        <f t="shared" si="55"/>
        <v>0</v>
      </c>
      <c r="P629" s="783">
        <f t="shared" si="56"/>
        <v>0</v>
      </c>
    </row>
    <row r="630" spans="3:16">
      <c r="C630" s="779">
        <f>IF(D616="","-",+C629+1)</f>
        <v>2024</v>
      </c>
      <c r="D630" s="727">
        <f t="shared" si="57"/>
        <v>40392697.044444442</v>
      </c>
      <c r="E630" s="780">
        <f t="shared" si="59"/>
        <v>1392851.6222222222</v>
      </c>
      <c r="F630" s="780">
        <f t="shared" si="53"/>
        <v>38999845.422222219</v>
      </c>
      <c r="G630" s="727">
        <f t="shared" si="58"/>
        <v>39696271.233333334</v>
      </c>
      <c r="H630" s="785">
        <f>+J617*G630+E630</f>
        <v>5952439.1272049882</v>
      </c>
      <c r="I630" s="786">
        <f>+J618*G630+E630</f>
        <v>5952439.1272049882</v>
      </c>
      <c r="J630" s="783">
        <f t="shared" si="60"/>
        <v>0</v>
      </c>
      <c r="K630" s="783"/>
      <c r="L630" s="1304"/>
      <c r="M630" s="783">
        <f t="shared" si="54"/>
        <v>0</v>
      </c>
      <c r="N630" s="1304"/>
      <c r="O630" s="783">
        <f t="shared" si="55"/>
        <v>0</v>
      </c>
      <c r="P630" s="783">
        <f t="shared" si="56"/>
        <v>0</v>
      </c>
    </row>
    <row r="631" spans="3:16">
      <c r="C631" s="779">
        <f>IF(D616="","-",+C630+1)</f>
        <v>2025</v>
      </c>
      <c r="D631" s="727">
        <f t="shared" si="57"/>
        <v>38999845.422222219</v>
      </c>
      <c r="E631" s="780">
        <f t="shared" si="59"/>
        <v>1392851.6222222222</v>
      </c>
      <c r="F631" s="780">
        <f t="shared" si="53"/>
        <v>37606993.799999997</v>
      </c>
      <c r="G631" s="727">
        <f t="shared" si="58"/>
        <v>38303419.611111104</v>
      </c>
      <c r="H631" s="785">
        <f>+J617*G631+E631</f>
        <v>5792453.6007143632</v>
      </c>
      <c r="I631" s="786">
        <f>+J618*G631+E631</f>
        <v>5792453.6007143632</v>
      </c>
      <c r="J631" s="783">
        <f t="shared" si="60"/>
        <v>0</v>
      </c>
      <c r="K631" s="783"/>
      <c r="L631" s="1304"/>
      <c r="M631" s="783">
        <f t="shared" si="54"/>
        <v>0</v>
      </c>
      <c r="N631" s="1304"/>
      <c r="O631" s="783">
        <f t="shared" si="55"/>
        <v>0</v>
      </c>
      <c r="P631" s="783">
        <f t="shared" si="56"/>
        <v>0</v>
      </c>
    </row>
    <row r="632" spans="3:16">
      <c r="C632" s="779">
        <f>IF(D616="","-",+C631+1)</f>
        <v>2026</v>
      </c>
      <c r="D632" s="727">
        <f t="shared" si="57"/>
        <v>37606993.799999997</v>
      </c>
      <c r="E632" s="780">
        <f t="shared" si="59"/>
        <v>1392851.6222222222</v>
      </c>
      <c r="F632" s="780">
        <f t="shared" si="53"/>
        <v>36214142.177777775</v>
      </c>
      <c r="G632" s="727">
        <f t="shared" si="58"/>
        <v>36910567.98888889</v>
      </c>
      <c r="H632" s="785">
        <f>+J617*G632+E632</f>
        <v>5632468.074223741</v>
      </c>
      <c r="I632" s="786">
        <f>+J618*G632+E632</f>
        <v>5632468.074223741</v>
      </c>
      <c r="J632" s="783">
        <f t="shared" si="60"/>
        <v>0</v>
      </c>
      <c r="K632" s="783"/>
      <c r="L632" s="1304"/>
      <c r="M632" s="783">
        <f t="shared" si="54"/>
        <v>0</v>
      </c>
      <c r="N632" s="1304"/>
      <c r="O632" s="783">
        <f t="shared" si="55"/>
        <v>0</v>
      </c>
      <c r="P632" s="783">
        <f t="shared" si="56"/>
        <v>0</v>
      </c>
    </row>
    <row r="633" spans="3:16">
      <c r="C633" s="779">
        <f>IF(D616="","-",+C632+1)</f>
        <v>2027</v>
      </c>
      <c r="D633" s="727">
        <f t="shared" si="57"/>
        <v>36214142.177777775</v>
      </c>
      <c r="E633" s="780">
        <f t="shared" si="59"/>
        <v>1392851.6222222222</v>
      </c>
      <c r="F633" s="780">
        <f t="shared" si="53"/>
        <v>34821290.555555552</v>
      </c>
      <c r="G633" s="727">
        <f t="shared" si="58"/>
        <v>35517716.36666666</v>
      </c>
      <c r="H633" s="785">
        <f>+J617*G633+E633</f>
        <v>5472482.5477331169</v>
      </c>
      <c r="I633" s="786">
        <f>+J618*G633+E633</f>
        <v>5472482.5477331169</v>
      </c>
      <c r="J633" s="783">
        <f t="shared" si="60"/>
        <v>0</v>
      </c>
      <c r="K633" s="783"/>
      <c r="L633" s="1304"/>
      <c r="M633" s="783">
        <f t="shared" si="54"/>
        <v>0</v>
      </c>
      <c r="N633" s="1304"/>
      <c r="O633" s="783">
        <f t="shared" si="55"/>
        <v>0</v>
      </c>
      <c r="P633" s="783">
        <f t="shared" si="56"/>
        <v>0</v>
      </c>
    </row>
    <row r="634" spans="3:16">
      <c r="C634" s="779">
        <f>IF(D616="","-",+C633+1)</f>
        <v>2028</v>
      </c>
      <c r="D634" s="727">
        <f t="shared" si="57"/>
        <v>34821290.555555552</v>
      </c>
      <c r="E634" s="780">
        <f t="shared" si="59"/>
        <v>1392851.6222222222</v>
      </c>
      <c r="F634" s="780">
        <f t="shared" si="53"/>
        <v>33428438.93333333</v>
      </c>
      <c r="G634" s="727">
        <f t="shared" si="58"/>
        <v>34124864.744444445</v>
      </c>
      <c r="H634" s="785">
        <f>+J617*G634+E634</f>
        <v>5312497.0212424938</v>
      </c>
      <c r="I634" s="786">
        <f>+J618*G634+E634</f>
        <v>5312497.0212424938</v>
      </c>
      <c r="J634" s="783">
        <f t="shared" si="60"/>
        <v>0</v>
      </c>
      <c r="K634" s="783"/>
      <c r="L634" s="1304"/>
      <c r="M634" s="783">
        <f t="shared" si="54"/>
        <v>0</v>
      </c>
      <c r="N634" s="1304"/>
      <c r="O634" s="783">
        <f t="shared" si="55"/>
        <v>0</v>
      </c>
      <c r="P634" s="783">
        <f t="shared" si="56"/>
        <v>0</v>
      </c>
    </row>
    <row r="635" spans="3:16">
      <c r="C635" s="779">
        <f>IF(D616="","-",+C634+1)</f>
        <v>2029</v>
      </c>
      <c r="D635" s="727">
        <f t="shared" si="57"/>
        <v>33428438.93333333</v>
      </c>
      <c r="E635" s="780">
        <f t="shared" si="59"/>
        <v>1392851.6222222222</v>
      </c>
      <c r="F635" s="780">
        <f t="shared" si="53"/>
        <v>32035587.311111107</v>
      </c>
      <c r="G635" s="727">
        <f t="shared" si="58"/>
        <v>32732013.122222219</v>
      </c>
      <c r="H635" s="785">
        <f>+J617*G635+E635</f>
        <v>5152511.4947518706</v>
      </c>
      <c r="I635" s="786">
        <f>+J618*G635+E635</f>
        <v>5152511.4947518706</v>
      </c>
      <c r="J635" s="783">
        <f t="shared" si="60"/>
        <v>0</v>
      </c>
      <c r="K635" s="783"/>
      <c r="L635" s="1304"/>
      <c r="M635" s="783">
        <f t="shared" si="54"/>
        <v>0</v>
      </c>
      <c r="N635" s="1304"/>
      <c r="O635" s="783">
        <f t="shared" si="55"/>
        <v>0</v>
      </c>
      <c r="P635" s="783">
        <f t="shared" si="56"/>
        <v>0</v>
      </c>
    </row>
    <row r="636" spans="3:16">
      <c r="C636" s="779">
        <f>IF(D616="","-",+C635+1)</f>
        <v>2030</v>
      </c>
      <c r="D636" s="727">
        <f t="shared" si="57"/>
        <v>32035587.311111107</v>
      </c>
      <c r="E636" s="780">
        <f t="shared" si="59"/>
        <v>1392851.6222222222</v>
      </c>
      <c r="F636" s="780">
        <f t="shared" si="53"/>
        <v>30642735.688888885</v>
      </c>
      <c r="G636" s="727">
        <f t="shared" si="58"/>
        <v>31339161.499999996</v>
      </c>
      <c r="H636" s="785">
        <f>+J617*G636+E636</f>
        <v>4992525.9682612466</v>
      </c>
      <c r="I636" s="786">
        <f>+J618*G636+E636</f>
        <v>4992525.9682612466</v>
      </c>
      <c r="J636" s="783">
        <f t="shared" si="60"/>
        <v>0</v>
      </c>
      <c r="K636" s="783"/>
      <c r="L636" s="1304"/>
      <c r="M636" s="783">
        <f t="shared" si="54"/>
        <v>0</v>
      </c>
      <c r="N636" s="1304"/>
      <c r="O636" s="783">
        <f t="shared" si="55"/>
        <v>0</v>
      </c>
      <c r="P636" s="783">
        <f t="shared" si="56"/>
        <v>0</v>
      </c>
    </row>
    <row r="637" spans="3:16">
      <c r="C637" s="779">
        <f>IF(D616="","-",+C636+1)</f>
        <v>2031</v>
      </c>
      <c r="D637" s="727">
        <f t="shared" si="57"/>
        <v>30642735.688888885</v>
      </c>
      <c r="E637" s="780">
        <f t="shared" si="59"/>
        <v>1392851.6222222222</v>
      </c>
      <c r="F637" s="780">
        <f t="shared" si="53"/>
        <v>29249884.066666663</v>
      </c>
      <c r="G637" s="727">
        <f t="shared" si="58"/>
        <v>29946309.877777774</v>
      </c>
      <c r="H637" s="785">
        <f>+J617*G637+E637</f>
        <v>4832540.4417706234</v>
      </c>
      <c r="I637" s="786">
        <f>+J618*G637+E637</f>
        <v>4832540.4417706234</v>
      </c>
      <c r="J637" s="783">
        <f t="shared" si="60"/>
        <v>0</v>
      </c>
      <c r="K637" s="783"/>
      <c r="L637" s="1304"/>
      <c r="M637" s="783">
        <f t="shared" si="54"/>
        <v>0</v>
      </c>
      <c r="N637" s="1304"/>
      <c r="O637" s="783">
        <f t="shared" si="55"/>
        <v>0</v>
      </c>
      <c r="P637" s="783">
        <f t="shared" si="56"/>
        <v>0</v>
      </c>
    </row>
    <row r="638" spans="3:16">
      <c r="C638" s="779">
        <f>IF(D616="","-",+C637+1)</f>
        <v>2032</v>
      </c>
      <c r="D638" s="727">
        <f t="shared" si="57"/>
        <v>29249884.066666663</v>
      </c>
      <c r="E638" s="780">
        <f t="shared" si="59"/>
        <v>1392851.6222222222</v>
      </c>
      <c r="F638" s="780">
        <f t="shared" si="53"/>
        <v>27857032.44444444</v>
      </c>
      <c r="G638" s="727">
        <f t="shared" si="58"/>
        <v>28553458.255555551</v>
      </c>
      <c r="H638" s="785">
        <f>+J617*G638+E638</f>
        <v>4672554.9152800003</v>
      </c>
      <c r="I638" s="786">
        <f>+J618*G638+E638</f>
        <v>4672554.9152800003</v>
      </c>
      <c r="J638" s="783">
        <f t="shared" si="60"/>
        <v>0</v>
      </c>
      <c r="K638" s="783"/>
      <c r="L638" s="1304"/>
      <c r="M638" s="783">
        <f t="shared" si="54"/>
        <v>0</v>
      </c>
      <c r="N638" s="1304"/>
      <c r="O638" s="783">
        <f t="shared" si="55"/>
        <v>0</v>
      </c>
      <c r="P638" s="783">
        <f t="shared" si="56"/>
        <v>0</v>
      </c>
    </row>
    <row r="639" spans="3:16">
      <c r="C639" s="779">
        <f>IF(D616="","-",+C638+1)</f>
        <v>2033</v>
      </c>
      <c r="D639" s="727">
        <f t="shared" si="57"/>
        <v>27857032.44444444</v>
      </c>
      <c r="E639" s="780">
        <f t="shared" si="59"/>
        <v>1392851.6222222222</v>
      </c>
      <c r="F639" s="780">
        <f t="shared" si="53"/>
        <v>26464180.822222218</v>
      </c>
      <c r="G639" s="727">
        <f t="shared" si="58"/>
        <v>27160606.633333329</v>
      </c>
      <c r="H639" s="785">
        <f>+J617*G639+E639</f>
        <v>4512569.3887893772</v>
      </c>
      <c r="I639" s="786">
        <f>+J618*G639+E639</f>
        <v>4512569.3887893772</v>
      </c>
      <c r="J639" s="783">
        <f t="shared" si="60"/>
        <v>0</v>
      </c>
      <c r="K639" s="783"/>
      <c r="L639" s="1304"/>
      <c r="M639" s="783">
        <f t="shared" si="54"/>
        <v>0</v>
      </c>
      <c r="N639" s="1304"/>
      <c r="O639" s="783">
        <f t="shared" si="55"/>
        <v>0</v>
      </c>
      <c r="P639" s="783">
        <f t="shared" si="56"/>
        <v>0</v>
      </c>
    </row>
    <row r="640" spans="3:16">
      <c r="C640" s="779">
        <f>IF(D616="","-",+C639+1)</f>
        <v>2034</v>
      </c>
      <c r="D640" s="727">
        <f t="shared" si="57"/>
        <v>26464180.822222218</v>
      </c>
      <c r="E640" s="780">
        <f t="shared" si="59"/>
        <v>1392851.6222222222</v>
      </c>
      <c r="F640" s="780">
        <f t="shared" si="53"/>
        <v>25071329.199999996</v>
      </c>
      <c r="G640" s="727">
        <f t="shared" si="58"/>
        <v>25767755.011111107</v>
      </c>
      <c r="H640" s="785">
        <f>+J617*G640+E640</f>
        <v>4352583.8622987531</v>
      </c>
      <c r="I640" s="786">
        <f>+J618*G640+E640</f>
        <v>4352583.8622987531</v>
      </c>
      <c r="J640" s="783">
        <f t="shared" si="60"/>
        <v>0</v>
      </c>
      <c r="K640" s="783"/>
      <c r="L640" s="1304"/>
      <c r="M640" s="783">
        <f t="shared" si="54"/>
        <v>0</v>
      </c>
      <c r="N640" s="1304"/>
      <c r="O640" s="783">
        <f t="shared" si="55"/>
        <v>0</v>
      </c>
      <c r="P640" s="783">
        <f t="shared" si="56"/>
        <v>0</v>
      </c>
    </row>
    <row r="641" spans="3:16">
      <c r="C641" s="779">
        <f>IF(D616="","-",+C640+1)</f>
        <v>2035</v>
      </c>
      <c r="D641" s="727">
        <f t="shared" si="57"/>
        <v>25071329.199999996</v>
      </c>
      <c r="E641" s="780">
        <f t="shared" si="59"/>
        <v>1392851.6222222222</v>
      </c>
      <c r="F641" s="780">
        <f t="shared" si="53"/>
        <v>23678477.577777773</v>
      </c>
      <c r="G641" s="727">
        <f t="shared" si="58"/>
        <v>24374903.388888884</v>
      </c>
      <c r="H641" s="785">
        <f>+J617*G641+E641</f>
        <v>4192598.33580813</v>
      </c>
      <c r="I641" s="786">
        <f>+J618*G641+E641</f>
        <v>4192598.33580813</v>
      </c>
      <c r="J641" s="783">
        <f t="shared" si="60"/>
        <v>0</v>
      </c>
      <c r="K641" s="783"/>
      <c r="L641" s="1304"/>
      <c r="M641" s="783">
        <f t="shared" si="54"/>
        <v>0</v>
      </c>
      <c r="N641" s="1304"/>
      <c r="O641" s="783">
        <f t="shared" si="55"/>
        <v>0</v>
      </c>
      <c r="P641" s="783">
        <f t="shared" si="56"/>
        <v>0</v>
      </c>
    </row>
    <row r="642" spans="3:16">
      <c r="C642" s="779">
        <f>IF(D616="","-",+C641+1)</f>
        <v>2036</v>
      </c>
      <c r="D642" s="727">
        <f t="shared" si="57"/>
        <v>23678477.577777773</v>
      </c>
      <c r="E642" s="780">
        <f t="shared" si="59"/>
        <v>1392851.6222222222</v>
      </c>
      <c r="F642" s="780">
        <f t="shared" si="53"/>
        <v>22285625.955555551</v>
      </c>
      <c r="G642" s="727">
        <f t="shared" si="58"/>
        <v>22982051.766666662</v>
      </c>
      <c r="H642" s="785">
        <f>+J617*G642+E642</f>
        <v>4032612.8093175068</v>
      </c>
      <c r="I642" s="786">
        <f>+J618*G642+E642</f>
        <v>4032612.8093175068</v>
      </c>
      <c r="J642" s="783">
        <f t="shared" si="60"/>
        <v>0</v>
      </c>
      <c r="K642" s="783"/>
      <c r="L642" s="1304"/>
      <c r="M642" s="783">
        <f t="shared" si="54"/>
        <v>0</v>
      </c>
      <c r="N642" s="1304"/>
      <c r="O642" s="783">
        <f t="shared" si="55"/>
        <v>0</v>
      </c>
      <c r="P642" s="783">
        <f t="shared" si="56"/>
        <v>0</v>
      </c>
    </row>
    <row r="643" spans="3:16">
      <c r="C643" s="779">
        <f>IF(D616="","-",+C642+1)</f>
        <v>2037</v>
      </c>
      <c r="D643" s="727">
        <f t="shared" si="57"/>
        <v>22285625.955555551</v>
      </c>
      <c r="E643" s="780">
        <f t="shared" si="59"/>
        <v>1392851.6222222222</v>
      </c>
      <c r="F643" s="780">
        <f t="shared" si="53"/>
        <v>20892774.333333328</v>
      </c>
      <c r="G643" s="727">
        <f t="shared" si="58"/>
        <v>21589200.14444444</v>
      </c>
      <c r="H643" s="785">
        <f>+J617*G643+E643</f>
        <v>3872627.2828268837</v>
      </c>
      <c r="I643" s="786">
        <f>+J618*G643+E643</f>
        <v>3872627.2828268837</v>
      </c>
      <c r="J643" s="783">
        <f t="shared" si="60"/>
        <v>0</v>
      </c>
      <c r="K643" s="783"/>
      <c r="L643" s="1304"/>
      <c r="M643" s="783">
        <f t="shared" si="54"/>
        <v>0</v>
      </c>
      <c r="N643" s="1304"/>
      <c r="O643" s="783">
        <f t="shared" si="55"/>
        <v>0</v>
      </c>
      <c r="P643" s="783">
        <f t="shared" si="56"/>
        <v>0</v>
      </c>
    </row>
    <row r="644" spans="3:16">
      <c r="C644" s="779">
        <f>IF(D616="","-",+C643+1)</f>
        <v>2038</v>
      </c>
      <c r="D644" s="727">
        <f t="shared" si="57"/>
        <v>20892774.333333328</v>
      </c>
      <c r="E644" s="780">
        <f t="shared" si="59"/>
        <v>1392851.6222222222</v>
      </c>
      <c r="F644" s="780">
        <f t="shared" si="53"/>
        <v>19499922.711111106</v>
      </c>
      <c r="G644" s="727">
        <f t="shared" si="58"/>
        <v>20196348.522222217</v>
      </c>
      <c r="H644" s="785">
        <f>+J617*G644+E644</f>
        <v>3712641.7563362597</v>
      </c>
      <c r="I644" s="786">
        <f>+J618*G644+E644</f>
        <v>3712641.7563362597</v>
      </c>
      <c r="J644" s="783">
        <f t="shared" si="60"/>
        <v>0</v>
      </c>
      <c r="K644" s="783"/>
      <c r="L644" s="1304"/>
      <c r="M644" s="783">
        <f t="shared" si="54"/>
        <v>0</v>
      </c>
      <c r="N644" s="1304"/>
      <c r="O644" s="783">
        <f t="shared" si="55"/>
        <v>0</v>
      </c>
      <c r="P644" s="783">
        <f t="shared" si="56"/>
        <v>0</v>
      </c>
    </row>
    <row r="645" spans="3:16">
      <c r="C645" s="779">
        <f>IF(D616="","-",+C644+1)</f>
        <v>2039</v>
      </c>
      <c r="D645" s="727">
        <f t="shared" si="57"/>
        <v>19499922.711111106</v>
      </c>
      <c r="E645" s="780">
        <f t="shared" si="59"/>
        <v>1392851.6222222222</v>
      </c>
      <c r="F645" s="780">
        <f t="shared" si="53"/>
        <v>18107071.088888884</v>
      </c>
      <c r="G645" s="727">
        <f t="shared" si="58"/>
        <v>18803496.899999995</v>
      </c>
      <c r="H645" s="785">
        <f>+J617*G645+E645</f>
        <v>3552656.2298456365</v>
      </c>
      <c r="I645" s="786">
        <f>+J618*G645+E645</f>
        <v>3552656.2298456365</v>
      </c>
      <c r="J645" s="783">
        <f t="shared" si="60"/>
        <v>0</v>
      </c>
      <c r="K645" s="783"/>
      <c r="L645" s="1304"/>
      <c r="M645" s="783">
        <f t="shared" si="54"/>
        <v>0</v>
      </c>
      <c r="N645" s="1304"/>
      <c r="O645" s="783">
        <f t="shared" si="55"/>
        <v>0</v>
      </c>
      <c r="P645" s="783">
        <f t="shared" si="56"/>
        <v>0</v>
      </c>
    </row>
    <row r="646" spans="3:16">
      <c r="C646" s="779">
        <f>IF(D616="","-",+C645+1)</f>
        <v>2040</v>
      </c>
      <c r="D646" s="727">
        <f t="shared" si="57"/>
        <v>18107071.088888884</v>
      </c>
      <c r="E646" s="780">
        <f t="shared" si="59"/>
        <v>1392851.6222222222</v>
      </c>
      <c r="F646" s="780">
        <f t="shared" si="53"/>
        <v>16714219.466666661</v>
      </c>
      <c r="G646" s="727">
        <f t="shared" si="58"/>
        <v>17410645.277777772</v>
      </c>
      <c r="H646" s="785">
        <f>+J617*G646+E646</f>
        <v>3392670.7033550134</v>
      </c>
      <c r="I646" s="786">
        <f>+J618*G646+E646</f>
        <v>3392670.7033550134</v>
      </c>
      <c r="J646" s="783">
        <f t="shared" si="60"/>
        <v>0</v>
      </c>
      <c r="K646" s="783"/>
      <c r="L646" s="1304"/>
      <c r="M646" s="783">
        <f t="shared" si="54"/>
        <v>0</v>
      </c>
      <c r="N646" s="1304"/>
      <c r="O646" s="783">
        <f t="shared" si="55"/>
        <v>0</v>
      </c>
      <c r="P646" s="783">
        <f t="shared" si="56"/>
        <v>0</v>
      </c>
    </row>
    <row r="647" spans="3:16">
      <c r="C647" s="779">
        <f>IF(D616="","-",+C646+1)</f>
        <v>2041</v>
      </c>
      <c r="D647" s="727">
        <f t="shared" si="57"/>
        <v>16714219.466666661</v>
      </c>
      <c r="E647" s="780">
        <f t="shared" si="59"/>
        <v>1392851.6222222222</v>
      </c>
      <c r="F647" s="780">
        <f t="shared" si="53"/>
        <v>15321367.844444439</v>
      </c>
      <c r="G647" s="727">
        <f t="shared" si="58"/>
        <v>16017793.65555555</v>
      </c>
      <c r="H647" s="785">
        <f>+J617*G647+E647</f>
        <v>3232685.1768643903</v>
      </c>
      <c r="I647" s="786">
        <f>+J618*G647+E647</f>
        <v>3232685.1768643903</v>
      </c>
      <c r="J647" s="783">
        <f t="shared" si="60"/>
        <v>0</v>
      </c>
      <c r="K647" s="783"/>
      <c r="L647" s="1304"/>
      <c r="M647" s="783">
        <f t="shared" si="54"/>
        <v>0</v>
      </c>
      <c r="N647" s="1304"/>
      <c r="O647" s="783">
        <f t="shared" si="55"/>
        <v>0</v>
      </c>
      <c r="P647" s="783">
        <f t="shared" si="56"/>
        <v>0</v>
      </c>
    </row>
    <row r="648" spans="3:16">
      <c r="C648" s="779">
        <f>IF(D616="","-",+C647+1)</f>
        <v>2042</v>
      </c>
      <c r="D648" s="727">
        <f t="shared" si="57"/>
        <v>15321367.844444439</v>
      </c>
      <c r="E648" s="780">
        <f t="shared" si="59"/>
        <v>1392851.6222222222</v>
      </c>
      <c r="F648" s="780">
        <f t="shared" si="53"/>
        <v>13928516.222222216</v>
      </c>
      <c r="G648" s="727">
        <f t="shared" si="58"/>
        <v>14624942.033333328</v>
      </c>
      <c r="H648" s="785">
        <f>+J617*G648+E648</f>
        <v>3072699.6503737667</v>
      </c>
      <c r="I648" s="786">
        <f>+J618*G648+E648</f>
        <v>3072699.6503737667</v>
      </c>
      <c r="J648" s="783">
        <f t="shared" si="60"/>
        <v>0</v>
      </c>
      <c r="K648" s="783"/>
      <c r="L648" s="1304"/>
      <c r="M648" s="783">
        <f t="shared" si="54"/>
        <v>0</v>
      </c>
      <c r="N648" s="1304"/>
      <c r="O648" s="783">
        <f t="shared" si="55"/>
        <v>0</v>
      </c>
      <c r="P648" s="783">
        <f t="shared" si="56"/>
        <v>0</v>
      </c>
    </row>
    <row r="649" spans="3:16">
      <c r="C649" s="779">
        <f>IF(D616="","-",+C648+1)</f>
        <v>2043</v>
      </c>
      <c r="D649" s="727">
        <f t="shared" si="57"/>
        <v>13928516.222222216</v>
      </c>
      <c r="E649" s="780">
        <f t="shared" si="59"/>
        <v>1392851.6222222222</v>
      </c>
      <c r="F649" s="780">
        <f t="shared" si="53"/>
        <v>12535664.599999994</v>
      </c>
      <c r="G649" s="727">
        <f t="shared" si="58"/>
        <v>13232090.411111105</v>
      </c>
      <c r="H649" s="785">
        <f>+J617*G649+E649</f>
        <v>2912714.1238831431</v>
      </c>
      <c r="I649" s="786">
        <f>+J618*G649+E649</f>
        <v>2912714.1238831431</v>
      </c>
      <c r="J649" s="783">
        <f t="shared" si="60"/>
        <v>0</v>
      </c>
      <c r="K649" s="783"/>
      <c r="L649" s="1304"/>
      <c r="M649" s="783">
        <f t="shared" si="54"/>
        <v>0</v>
      </c>
      <c r="N649" s="1304"/>
      <c r="O649" s="783">
        <f t="shared" si="55"/>
        <v>0</v>
      </c>
      <c r="P649" s="783">
        <f t="shared" si="56"/>
        <v>0</v>
      </c>
    </row>
    <row r="650" spans="3:16">
      <c r="C650" s="779">
        <f>IF(D616="","-",+C649+1)</f>
        <v>2044</v>
      </c>
      <c r="D650" s="727">
        <f t="shared" si="57"/>
        <v>12535664.599999994</v>
      </c>
      <c r="E650" s="780">
        <f t="shared" si="59"/>
        <v>1392851.6222222222</v>
      </c>
      <c r="F650" s="780">
        <f t="shared" si="53"/>
        <v>11142812.977777772</v>
      </c>
      <c r="G650" s="727">
        <f t="shared" si="58"/>
        <v>11839238.788888883</v>
      </c>
      <c r="H650" s="785">
        <f>+J617*G650+E650</f>
        <v>2752728.5973925199</v>
      </c>
      <c r="I650" s="786">
        <f>+J618*G650+E650</f>
        <v>2752728.5973925199</v>
      </c>
      <c r="J650" s="783">
        <f t="shared" si="60"/>
        <v>0</v>
      </c>
      <c r="K650" s="783"/>
      <c r="L650" s="1304"/>
      <c r="M650" s="783">
        <f t="shared" si="54"/>
        <v>0</v>
      </c>
      <c r="N650" s="1304"/>
      <c r="O650" s="783">
        <f t="shared" si="55"/>
        <v>0</v>
      </c>
      <c r="P650" s="783">
        <f t="shared" si="56"/>
        <v>0</v>
      </c>
    </row>
    <row r="651" spans="3:16">
      <c r="C651" s="779">
        <f>IF(D616="","-",+C650+1)</f>
        <v>2045</v>
      </c>
      <c r="D651" s="727">
        <f t="shared" si="57"/>
        <v>11142812.977777772</v>
      </c>
      <c r="E651" s="780">
        <f t="shared" si="59"/>
        <v>1392851.6222222222</v>
      </c>
      <c r="F651" s="780">
        <f t="shared" si="53"/>
        <v>9749961.3555555493</v>
      </c>
      <c r="G651" s="727">
        <f t="shared" si="58"/>
        <v>10446387.16666666</v>
      </c>
      <c r="H651" s="785">
        <f>+J617*G651+E651</f>
        <v>2592743.0709018968</v>
      </c>
      <c r="I651" s="786">
        <f>+J618*G651+E651</f>
        <v>2592743.0709018968</v>
      </c>
      <c r="J651" s="783">
        <f t="shared" si="60"/>
        <v>0</v>
      </c>
      <c r="K651" s="783"/>
      <c r="L651" s="1304"/>
      <c r="M651" s="783">
        <f t="shared" si="54"/>
        <v>0</v>
      </c>
      <c r="N651" s="1304"/>
      <c r="O651" s="783">
        <f t="shared" si="55"/>
        <v>0</v>
      </c>
      <c r="P651" s="783">
        <f t="shared" si="56"/>
        <v>0</v>
      </c>
    </row>
    <row r="652" spans="3:16">
      <c r="C652" s="779">
        <f>IF(D616="","-",+C651+1)</f>
        <v>2046</v>
      </c>
      <c r="D652" s="727">
        <f t="shared" si="57"/>
        <v>9749961.3555555493</v>
      </c>
      <c r="E652" s="780">
        <f t="shared" si="59"/>
        <v>1392851.6222222222</v>
      </c>
      <c r="F652" s="780">
        <f t="shared" si="53"/>
        <v>8357109.7333333269</v>
      </c>
      <c r="G652" s="727">
        <f t="shared" si="58"/>
        <v>9053535.5444444381</v>
      </c>
      <c r="H652" s="785">
        <f>+J617*G652+E652</f>
        <v>2432757.5444112732</v>
      </c>
      <c r="I652" s="786">
        <f>+J618*G652+E652</f>
        <v>2432757.5444112732</v>
      </c>
      <c r="J652" s="783">
        <f t="shared" si="60"/>
        <v>0</v>
      </c>
      <c r="K652" s="783"/>
      <c r="L652" s="1304"/>
      <c r="M652" s="783">
        <f t="shared" si="54"/>
        <v>0</v>
      </c>
      <c r="N652" s="1304"/>
      <c r="O652" s="783">
        <f t="shared" si="55"/>
        <v>0</v>
      </c>
      <c r="P652" s="783">
        <f t="shared" si="56"/>
        <v>0</v>
      </c>
    </row>
    <row r="653" spans="3:16">
      <c r="C653" s="779">
        <f>IF(D616="","-",+C652+1)</f>
        <v>2047</v>
      </c>
      <c r="D653" s="727">
        <f t="shared" si="57"/>
        <v>8357109.7333333269</v>
      </c>
      <c r="E653" s="780">
        <f t="shared" si="59"/>
        <v>1392851.6222222222</v>
      </c>
      <c r="F653" s="780">
        <f t="shared" si="53"/>
        <v>6964258.1111111045</v>
      </c>
      <c r="G653" s="727">
        <f t="shared" si="58"/>
        <v>7660683.9222222157</v>
      </c>
      <c r="H653" s="785">
        <f>+J617*G653+E653</f>
        <v>2272772.0179206496</v>
      </c>
      <c r="I653" s="786">
        <f>+J618*G653+E653</f>
        <v>2272772.0179206496</v>
      </c>
      <c r="J653" s="783">
        <f t="shared" si="60"/>
        <v>0</v>
      </c>
      <c r="K653" s="783"/>
      <c r="L653" s="1304"/>
      <c r="M653" s="783">
        <f t="shared" si="54"/>
        <v>0</v>
      </c>
      <c r="N653" s="1304"/>
      <c r="O653" s="783">
        <f t="shared" si="55"/>
        <v>0</v>
      </c>
      <c r="P653" s="783">
        <f t="shared" si="56"/>
        <v>0</v>
      </c>
    </row>
    <row r="654" spans="3:16">
      <c r="C654" s="779">
        <f>IF(D616="","-",+C653+1)</f>
        <v>2048</v>
      </c>
      <c r="D654" s="727">
        <f t="shared" si="57"/>
        <v>6964258.1111111045</v>
      </c>
      <c r="E654" s="780">
        <f t="shared" si="59"/>
        <v>1392851.6222222222</v>
      </c>
      <c r="F654" s="780">
        <f t="shared" si="53"/>
        <v>5571406.4888888821</v>
      </c>
      <c r="G654" s="727">
        <f t="shared" si="58"/>
        <v>6267832.2999999933</v>
      </c>
      <c r="H654" s="785">
        <f>+J617*G654+E654</f>
        <v>2112786.4914300265</v>
      </c>
      <c r="I654" s="786">
        <f>+J618*G654+E654</f>
        <v>2112786.4914300265</v>
      </c>
      <c r="J654" s="783">
        <f t="shared" si="60"/>
        <v>0</v>
      </c>
      <c r="K654" s="783"/>
      <c r="L654" s="1304"/>
      <c r="M654" s="783">
        <f t="shared" si="54"/>
        <v>0</v>
      </c>
      <c r="N654" s="1304"/>
      <c r="O654" s="783">
        <f t="shared" si="55"/>
        <v>0</v>
      </c>
      <c r="P654" s="783">
        <f t="shared" si="56"/>
        <v>0</v>
      </c>
    </row>
    <row r="655" spans="3:16">
      <c r="C655" s="779">
        <f>IF(D616="","-",+C654+1)</f>
        <v>2049</v>
      </c>
      <c r="D655" s="727">
        <f t="shared" si="57"/>
        <v>5571406.4888888821</v>
      </c>
      <c r="E655" s="780">
        <f t="shared" si="59"/>
        <v>1392851.6222222222</v>
      </c>
      <c r="F655" s="780">
        <f t="shared" si="53"/>
        <v>4178554.8666666597</v>
      </c>
      <c r="G655" s="727">
        <f t="shared" si="58"/>
        <v>4874980.6777777709</v>
      </c>
      <c r="H655" s="785">
        <f>+J617*G655+E655</f>
        <v>1952800.9649394031</v>
      </c>
      <c r="I655" s="786">
        <f>+J618*G655+E655</f>
        <v>1952800.9649394031</v>
      </c>
      <c r="J655" s="783">
        <f t="shared" si="60"/>
        <v>0</v>
      </c>
      <c r="K655" s="783"/>
      <c r="L655" s="1304"/>
      <c r="M655" s="783">
        <f t="shared" si="54"/>
        <v>0</v>
      </c>
      <c r="N655" s="1304"/>
      <c r="O655" s="783">
        <f t="shared" si="55"/>
        <v>0</v>
      </c>
      <c r="P655" s="783">
        <f t="shared" si="56"/>
        <v>0</v>
      </c>
    </row>
    <row r="656" spans="3:16">
      <c r="C656" s="779">
        <f>IF(D616="","-",+C655+1)</f>
        <v>2050</v>
      </c>
      <c r="D656" s="727">
        <f t="shared" si="57"/>
        <v>4178554.8666666597</v>
      </c>
      <c r="E656" s="780">
        <f t="shared" si="59"/>
        <v>1392851.6222222222</v>
      </c>
      <c r="F656" s="780">
        <f t="shared" si="53"/>
        <v>2785703.2444444373</v>
      </c>
      <c r="G656" s="727">
        <f t="shared" si="58"/>
        <v>3482129.0555555485</v>
      </c>
      <c r="H656" s="785">
        <f>+J617*G656+E656</f>
        <v>1792815.4384487798</v>
      </c>
      <c r="I656" s="786">
        <f>+J618*G656+E656</f>
        <v>1792815.4384487798</v>
      </c>
      <c r="J656" s="783">
        <f t="shared" si="60"/>
        <v>0</v>
      </c>
      <c r="K656" s="783"/>
      <c r="L656" s="1304"/>
      <c r="M656" s="783">
        <f t="shared" si="54"/>
        <v>0</v>
      </c>
      <c r="N656" s="1304"/>
      <c r="O656" s="783">
        <f t="shared" si="55"/>
        <v>0</v>
      </c>
      <c r="P656" s="783">
        <f t="shared" si="56"/>
        <v>0</v>
      </c>
    </row>
    <row r="657" spans="3:16">
      <c r="C657" s="779">
        <f>IF(D616="","-",+C656+1)</f>
        <v>2051</v>
      </c>
      <c r="D657" s="727">
        <f t="shared" si="57"/>
        <v>2785703.2444444373</v>
      </c>
      <c r="E657" s="780">
        <f t="shared" si="59"/>
        <v>1392851.6222222222</v>
      </c>
      <c r="F657" s="780">
        <f t="shared" si="53"/>
        <v>1392851.6222222152</v>
      </c>
      <c r="G657" s="727">
        <f t="shared" si="58"/>
        <v>2089277.4333333261</v>
      </c>
      <c r="H657" s="785">
        <f>+J617*G657+E657</f>
        <v>1632829.9119581564</v>
      </c>
      <c r="I657" s="786">
        <f>+J618*G657+E657</f>
        <v>1632829.9119581564</v>
      </c>
      <c r="J657" s="783">
        <f t="shared" si="60"/>
        <v>0</v>
      </c>
      <c r="K657" s="783"/>
      <c r="L657" s="1304"/>
      <c r="M657" s="783">
        <f t="shared" si="54"/>
        <v>0</v>
      </c>
      <c r="N657" s="1304"/>
      <c r="O657" s="783">
        <f t="shared" si="55"/>
        <v>0</v>
      </c>
      <c r="P657" s="783">
        <f t="shared" si="56"/>
        <v>0</v>
      </c>
    </row>
    <row r="658" spans="3:16">
      <c r="C658" s="779">
        <f>IF(D616="","-",+C657+1)</f>
        <v>2052</v>
      </c>
      <c r="D658" s="727">
        <f t="shared" si="57"/>
        <v>1392851.6222222152</v>
      </c>
      <c r="E658" s="780">
        <f t="shared" si="59"/>
        <v>1392851.6222222152</v>
      </c>
      <c r="F658" s="780">
        <f t="shared" si="53"/>
        <v>0</v>
      </c>
      <c r="G658" s="727">
        <f t="shared" si="58"/>
        <v>696425.81111110759</v>
      </c>
      <c r="H658" s="785">
        <f>+J617*G658+E658</f>
        <v>1472844.3854675265</v>
      </c>
      <c r="I658" s="786">
        <f>+J618*G658+E658</f>
        <v>1472844.3854675265</v>
      </c>
      <c r="J658" s="783">
        <f t="shared" si="60"/>
        <v>0</v>
      </c>
      <c r="K658" s="783"/>
      <c r="L658" s="1304"/>
      <c r="M658" s="783">
        <f t="shared" si="54"/>
        <v>0</v>
      </c>
      <c r="N658" s="1304"/>
      <c r="O658" s="783">
        <f t="shared" si="55"/>
        <v>0</v>
      </c>
      <c r="P658" s="783">
        <f t="shared" si="56"/>
        <v>0</v>
      </c>
    </row>
    <row r="659" spans="3:16">
      <c r="C659" s="779">
        <f>IF(D616="","-",+C658+1)</f>
        <v>2053</v>
      </c>
      <c r="D659" s="727">
        <f t="shared" si="57"/>
        <v>0</v>
      </c>
      <c r="E659" s="780">
        <f t="shared" si="59"/>
        <v>0</v>
      </c>
      <c r="F659" s="780">
        <f t="shared" si="53"/>
        <v>0</v>
      </c>
      <c r="G659" s="727">
        <f t="shared" si="58"/>
        <v>0</v>
      </c>
      <c r="H659" s="785">
        <f>+J617*G659+E659</f>
        <v>0</v>
      </c>
      <c r="I659" s="786">
        <f>+J618*G659+E659</f>
        <v>0</v>
      </c>
      <c r="J659" s="783">
        <f t="shared" si="60"/>
        <v>0</v>
      </c>
      <c r="K659" s="783"/>
      <c r="L659" s="1304"/>
      <c r="M659" s="783">
        <f t="shared" si="54"/>
        <v>0</v>
      </c>
      <c r="N659" s="1304"/>
      <c r="O659" s="783">
        <f t="shared" si="55"/>
        <v>0</v>
      </c>
      <c r="P659" s="783">
        <f t="shared" si="56"/>
        <v>0</v>
      </c>
    </row>
    <row r="660" spans="3:16">
      <c r="C660" s="779">
        <f>IF(D616="","-",+C659+1)</f>
        <v>2054</v>
      </c>
      <c r="D660" s="727">
        <f t="shared" si="57"/>
        <v>0</v>
      </c>
      <c r="E660" s="780">
        <f t="shared" si="59"/>
        <v>0</v>
      </c>
      <c r="F660" s="780">
        <f t="shared" si="53"/>
        <v>0</v>
      </c>
      <c r="G660" s="727">
        <f t="shared" si="58"/>
        <v>0</v>
      </c>
      <c r="H660" s="785">
        <f>+J617*G660+E660</f>
        <v>0</v>
      </c>
      <c r="I660" s="786">
        <f>+J618*G660+E660</f>
        <v>0</v>
      </c>
      <c r="J660" s="783">
        <f t="shared" si="60"/>
        <v>0</v>
      </c>
      <c r="K660" s="783"/>
      <c r="L660" s="1304"/>
      <c r="M660" s="783">
        <f t="shared" si="54"/>
        <v>0</v>
      </c>
      <c r="N660" s="1304"/>
      <c r="O660" s="783">
        <f t="shared" si="55"/>
        <v>0</v>
      </c>
      <c r="P660" s="783">
        <f t="shared" si="56"/>
        <v>0</v>
      </c>
    </row>
    <row r="661" spans="3:16">
      <c r="C661" s="779">
        <f>IF(D616="","-",+C660+1)</f>
        <v>2055</v>
      </c>
      <c r="D661" s="727">
        <f t="shared" si="57"/>
        <v>0</v>
      </c>
      <c r="E661" s="780">
        <f t="shared" si="59"/>
        <v>0</v>
      </c>
      <c r="F661" s="780">
        <f t="shared" si="53"/>
        <v>0</v>
      </c>
      <c r="G661" s="727">
        <f t="shared" si="58"/>
        <v>0</v>
      </c>
      <c r="H661" s="785">
        <f>+J617*G661+E661</f>
        <v>0</v>
      </c>
      <c r="I661" s="786">
        <f>+J618*G661+E661</f>
        <v>0</v>
      </c>
      <c r="J661" s="783">
        <f t="shared" si="60"/>
        <v>0</v>
      </c>
      <c r="K661" s="783"/>
      <c r="L661" s="1304"/>
      <c r="M661" s="783">
        <f t="shared" si="54"/>
        <v>0</v>
      </c>
      <c r="N661" s="1304"/>
      <c r="O661" s="783">
        <f t="shared" si="55"/>
        <v>0</v>
      </c>
      <c r="P661" s="783">
        <f t="shared" si="56"/>
        <v>0</v>
      </c>
    </row>
    <row r="662" spans="3:16">
      <c r="C662" s="779">
        <f>IF(D616="","-",+C661+1)</f>
        <v>2056</v>
      </c>
      <c r="D662" s="727">
        <f t="shared" si="57"/>
        <v>0</v>
      </c>
      <c r="E662" s="780">
        <f t="shared" si="59"/>
        <v>0</v>
      </c>
      <c r="F662" s="780">
        <f t="shared" si="53"/>
        <v>0</v>
      </c>
      <c r="G662" s="727">
        <f t="shared" si="58"/>
        <v>0</v>
      </c>
      <c r="H662" s="785">
        <f>+J617*G662+E662</f>
        <v>0</v>
      </c>
      <c r="I662" s="786">
        <f>+J618*G662+E662</f>
        <v>0</v>
      </c>
      <c r="J662" s="783">
        <f t="shared" si="60"/>
        <v>0</v>
      </c>
      <c r="K662" s="783"/>
      <c r="L662" s="1304"/>
      <c r="M662" s="783">
        <f t="shared" si="54"/>
        <v>0</v>
      </c>
      <c r="N662" s="1304"/>
      <c r="O662" s="783">
        <f t="shared" si="55"/>
        <v>0</v>
      </c>
      <c r="P662" s="783">
        <f t="shared" si="56"/>
        <v>0</v>
      </c>
    </row>
    <row r="663" spans="3:16">
      <c r="C663" s="779">
        <f>IF(D616="","-",+C662+1)</f>
        <v>2057</v>
      </c>
      <c r="D663" s="727">
        <f t="shared" si="57"/>
        <v>0</v>
      </c>
      <c r="E663" s="780">
        <f t="shared" si="59"/>
        <v>0</v>
      </c>
      <c r="F663" s="780">
        <f t="shared" si="53"/>
        <v>0</v>
      </c>
      <c r="G663" s="727">
        <f t="shared" si="58"/>
        <v>0</v>
      </c>
      <c r="H663" s="785">
        <f>+J617*G663+E663</f>
        <v>0</v>
      </c>
      <c r="I663" s="786">
        <f>+J618*G663+E663</f>
        <v>0</v>
      </c>
      <c r="J663" s="783">
        <f t="shared" si="60"/>
        <v>0</v>
      </c>
      <c r="K663" s="783"/>
      <c r="L663" s="1304"/>
      <c r="M663" s="783">
        <f t="shared" si="54"/>
        <v>0</v>
      </c>
      <c r="N663" s="1304"/>
      <c r="O663" s="783">
        <f t="shared" si="55"/>
        <v>0</v>
      </c>
      <c r="P663" s="783">
        <f t="shared" si="56"/>
        <v>0</v>
      </c>
    </row>
    <row r="664" spans="3:16">
      <c r="C664" s="779">
        <f>IF(D616="","-",+C663+1)</f>
        <v>2058</v>
      </c>
      <c r="D664" s="727">
        <f t="shared" si="57"/>
        <v>0</v>
      </c>
      <c r="E664" s="780">
        <f t="shared" si="59"/>
        <v>0</v>
      </c>
      <c r="F664" s="780">
        <f t="shared" si="53"/>
        <v>0</v>
      </c>
      <c r="G664" s="727">
        <f t="shared" si="58"/>
        <v>0</v>
      </c>
      <c r="H664" s="785">
        <f>+J617*G664+E664</f>
        <v>0</v>
      </c>
      <c r="I664" s="786">
        <f>+J618*G664+E664</f>
        <v>0</v>
      </c>
      <c r="J664" s="783">
        <f t="shared" si="60"/>
        <v>0</v>
      </c>
      <c r="K664" s="783"/>
      <c r="L664" s="1304"/>
      <c r="M664" s="783">
        <f t="shared" si="54"/>
        <v>0</v>
      </c>
      <c r="N664" s="1304"/>
      <c r="O664" s="783">
        <f t="shared" si="55"/>
        <v>0</v>
      </c>
      <c r="P664" s="783">
        <f t="shared" si="56"/>
        <v>0</v>
      </c>
    </row>
    <row r="665" spans="3:16">
      <c r="C665" s="779">
        <f>IF(D616="","-",+C664+1)</f>
        <v>2059</v>
      </c>
      <c r="D665" s="727">
        <f t="shared" si="57"/>
        <v>0</v>
      </c>
      <c r="E665" s="780">
        <f t="shared" si="59"/>
        <v>0</v>
      </c>
      <c r="F665" s="780">
        <f t="shared" si="53"/>
        <v>0</v>
      </c>
      <c r="G665" s="727">
        <f t="shared" si="58"/>
        <v>0</v>
      </c>
      <c r="H665" s="785">
        <f>+J617*G665+E665</f>
        <v>0</v>
      </c>
      <c r="I665" s="786">
        <f>+J618*G665+E665</f>
        <v>0</v>
      </c>
      <c r="J665" s="783">
        <f t="shared" si="60"/>
        <v>0</v>
      </c>
      <c r="K665" s="783"/>
      <c r="L665" s="1304"/>
      <c r="M665" s="783">
        <f t="shared" si="54"/>
        <v>0</v>
      </c>
      <c r="N665" s="1304"/>
      <c r="O665" s="783">
        <f t="shared" si="55"/>
        <v>0</v>
      </c>
      <c r="P665" s="783">
        <f t="shared" si="56"/>
        <v>0</v>
      </c>
    </row>
    <row r="666" spans="3:16">
      <c r="C666" s="779">
        <f>IF(D616="","-",+C665+1)</f>
        <v>2060</v>
      </c>
      <c r="D666" s="727">
        <f t="shared" si="57"/>
        <v>0</v>
      </c>
      <c r="E666" s="780">
        <f t="shared" si="59"/>
        <v>0</v>
      </c>
      <c r="F666" s="780">
        <f t="shared" si="53"/>
        <v>0</v>
      </c>
      <c r="G666" s="727">
        <f t="shared" si="58"/>
        <v>0</v>
      </c>
      <c r="H666" s="785">
        <f>+J617*G666+E666</f>
        <v>0</v>
      </c>
      <c r="I666" s="786">
        <f>+J618*G666+E666</f>
        <v>0</v>
      </c>
      <c r="J666" s="783">
        <f t="shared" si="60"/>
        <v>0</v>
      </c>
      <c r="K666" s="783"/>
      <c r="L666" s="1304"/>
      <c r="M666" s="783">
        <f t="shared" si="54"/>
        <v>0</v>
      </c>
      <c r="N666" s="1304"/>
      <c r="O666" s="783">
        <f t="shared" si="55"/>
        <v>0</v>
      </c>
      <c r="P666" s="783">
        <f t="shared" si="56"/>
        <v>0</v>
      </c>
    </row>
    <row r="667" spans="3:16">
      <c r="C667" s="779">
        <f>IF(D616="","-",+C666+1)</f>
        <v>2061</v>
      </c>
      <c r="D667" s="727">
        <f t="shared" si="57"/>
        <v>0</v>
      </c>
      <c r="E667" s="780">
        <f t="shared" si="59"/>
        <v>0</v>
      </c>
      <c r="F667" s="780">
        <f t="shared" si="53"/>
        <v>0</v>
      </c>
      <c r="G667" s="727">
        <f t="shared" si="58"/>
        <v>0</v>
      </c>
      <c r="H667" s="785">
        <f>+J617*G667+E667</f>
        <v>0</v>
      </c>
      <c r="I667" s="786">
        <f>+J618*G667+E667</f>
        <v>0</v>
      </c>
      <c r="J667" s="783">
        <f t="shared" si="60"/>
        <v>0</v>
      </c>
      <c r="K667" s="783"/>
      <c r="L667" s="1304"/>
      <c r="M667" s="783">
        <f t="shared" si="54"/>
        <v>0</v>
      </c>
      <c r="N667" s="1304"/>
      <c r="O667" s="783">
        <f t="shared" si="55"/>
        <v>0</v>
      </c>
      <c r="P667" s="783">
        <f t="shared" si="56"/>
        <v>0</v>
      </c>
    </row>
    <row r="668" spans="3:16">
      <c r="C668" s="779">
        <f>IF(D616="","-",+C667+1)</f>
        <v>2062</v>
      </c>
      <c r="D668" s="727">
        <f t="shared" si="57"/>
        <v>0</v>
      </c>
      <c r="E668" s="780">
        <f t="shared" si="59"/>
        <v>0</v>
      </c>
      <c r="F668" s="780">
        <f t="shared" si="53"/>
        <v>0</v>
      </c>
      <c r="G668" s="727">
        <f t="shared" si="58"/>
        <v>0</v>
      </c>
      <c r="H668" s="785">
        <f>+J617*G668+E668</f>
        <v>0</v>
      </c>
      <c r="I668" s="786">
        <f>+J618*G668+E668</f>
        <v>0</v>
      </c>
      <c r="J668" s="783">
        <f t="shared" si="60"/>
        <v>0</v>
      </c>
      <c r="K668" s="783"/>
      <c r="L668" s="1304"/>
      <c r="M668" s="783">
        <f t="shared" si="54"/>
        <v>0</v>
      </c>
      <c r="N668" s="1304"/>
      <c r="O668" s="783">
        <f t="shared" si="55"/>
        <v>0</v>
      </c>
      <c r="P668" s="783">
        <f t="shared" si="56"/>
        <v>0</v>
      </c>
    </row>
    <row r="669" spans="3:16">
      <c r="C669" s="779">
        <f>IF(D616="","-",+C668+1)</f>
        <v>2063</v>
      </c>
      <c r="D669" s="727">
        <f t="shared" si="57"/>
        <v>0</v>
      </c>
      <c r="E669" s="780">
        <f t="shared" si="59"/>
        <v>0</v>
      </c>
      <c r="F669" s="780">
        <f t="shared" si="53"/>
        <v>0</v>
      </c>
      <c r="G669" s="727">
        <f t="shared" si="58"/>
        <v>0</v>
      </c>
      <c r="H669" s="785">
        <f>+J617*G669+E669</f>
        <v>0</v>
      </c>
      <c r="I669" s="786">
        <f>+J618*G669+E669</f>
        <v>0</v>
      </c>
      <c r="J669" s="783">
        <f t="shared" si="60"/>
        <v>0</v>
      </c>
      <c r="K669" s="783"/>
      <c r="L669" s="1304"/>
      <c r="M669" s="783">
        <f t="shared" si="54"/>
        <v>0</v>
      </c>
      <c r="N669" s="1304"/>
      <c r="O669" s="783">
        <f t="shared" si="55"/>
        <v>0</v>
      </c>
      <c r="P669" s="783">
        <f t="shared" si="56"/>
        <v>0</v>
      </c>
    </row>
    <row r="670" spans="3:16">
      <c r="C670" s="779">
        <f>IF(D616="","-",+C669+1)</f>
        <v>2064</v>
      </c>
      <c r="D670" s="727">
        <f t="shared" si="57"/>
        <v>0</v>
      </c>
      <c r="E670" s="780">
        <f t="shared" si="59"/>
        <v>0</v>
      </c>
      <c r="F670" s="780">
        <f t="shared" si="53"/>
        <v>0</v>
      </c>
      <c r="G670" s="727">
        <f t="shared" si="58"/>
        <v>0</v>
      </c>
      <c r="H670" s="785">
        <f>+J617*G670+E670</f>
        <v>0</v>
      </c>
      <c r="I670" s="786">
        <f>+J618*G670+E670</f>
        <v>0</v>
      </c>
      <c r="J670" s="783">
        <f t="shared" si="60"/>
        <v>0</v>
      </c>
      <c r="K670" s="783"/>
      <c r="L670" s="1304"/>
      <c r="M670" s="783">
        <f t="shared" si="54"/>
        <v>0</v>
      </c>
      <c r="N670" s="1304"/>
      <c r="O670" s="783">
        <f t="shared" si="55"/>
        <v>0</v>
      </c>
      <c r="P670" s="783">
        <f t="shared" si="56"/>
        <v>0</v>
      </c>
    </row>
    <row r="671" spans="3:16">
      <c r="C671" s="779">
        <f>IF(D616="","-",+C670+1)</f>
        <v>2065</v>
      </c>
      <c r="D671" s="727">
        <f t="shared" si="57"/>
        <v>0</v>
      </c>
      <c r="E671" s="780">
        <f t="shared" si="59"/>
        <v>0</v>
      </c>
      <c r="F671" s="780">
        <f t="shared" si="53"/>
        <v>0</v>
      </c>
      <c r="G671" s="727">
        <f t="shared" si="58"/>
        <v>0</v>
      </c>
      <c r="H671" s="785">
        <f>+J617*G671+E671</f>
        <v>0</v>
      </c>
      <c r="I671" s="786">
        <f>+J618*G671+E671</f>
        <v>0</v>
      </c>
      <c r="J671" s="783">
        <f t="shared" si="60"/>
        <v>0</v>
      </c>
      <c r="K671" s="783"/>
      <c r="L671" s="1304"/>
      <c r="M671" s="783">
        <f t="shared" si="54"/>
        <v>0</v>
      </c>
      <c r="N671" s="1304"/>
      <c r="O671" s="783">
        <f t="shared" si="55"/>
        <v>0</v>
      </c>
      <c r="P671" s="783">
        <f t="shared" si="56"/>
        <v>0</v>
      </c>
    </row>
    <row r="672" spans="3:16">
      <c r="C672" s="779">
        <f>IF(D616="","-",+C671+1)</f>
        <v>2066</v>
      </c>
      <c r="D672" s="727">
        <f t="shared" si="57"/>
        <v>0</v>
      </c>
      <c r="E672" s="780">
        <f t="shared" si="59"/>
        <v>0</v>
      </c>
      <c r="F672" s="780">
        <f t="shared" si="53"/>
        <v>0</v>
      </c>
      <c r="G672" s="727">
        <f t="shared" si="58"/>
        <v>0</v>
      </c>
      <c r="H672" s="785">
        <f>+J617*G672+E672</f>
        <v>0</v>
      </c>
      <c r="I672" s="786">
        <f>+J618*G672+E672</f>
        <v>0</v>
      </c>
      <c r="J672" s="783">
        <f t="shared" si="60"/>
        <v>0</v>
      </c>
      <c r="K672" s="783"/>
      <c r="L672" s="1304"/>
      <c r="M672" s="783">
        <f t="shared" si="54"/>
        <v>0</v>
      </c>
      <c r="N672" s="1304"/>
      <c r="O672" s="783">
        <f t="shared" si="55"/>
        <v>0</v>
      </c>
      <c r="P672" s="783">
        <f t="shared" si="56"/>
        <v>0</v>
      </c>
    </row>
    <row r="673" spans="3:16">
      <c r="C673" s="779">
        <f>IF(D616="","-",+C672+1)</f>
        <v>2067</v>
      </c>
      <c r="D673" s="727">
        <f t="shared" si="57"/>
        <v>0</v>
      </c>
      <c r="E673" s="780">
        <f t="shared" si="59"/>
        <v>0</v>
      </c>
      <c r="F673" s="780">
        <f t="shared" si="53"/>
        <v>0</v>
      </c>
      <c r="G673" s="727">
        <f t="shared" si="58"/>
        <v>0</v>
      </c>
      <c r="H673" s="785">
        <f>+J617*G673+E673</f>
        <v>0</v>
      </c>
      <c r="I673" s="786">
        <f>+J618*G673+E673</f>
        <v>0</v>
      </c>
      <c r="J673" s="783">
        <f t="shared" si="60"/>
        <v>0</v>
      </c>
      <c r="K673" s="783"/>
      <c r="L673" s="1304"/>
      <c r="M673" s="783">
        <f t="shared" si="54"/>
        <v>0</v>
      </c>
      <c r="N673" s="1304"/>
      <c r="O673" s="783">
        <f t="shared" si="55"/>
        <v>0</v>
      </c>
      <c r="P673" s="783">
        <f t="shared" si="56"/>
        <v>0</v>
      </c>
    </row>
    <row r="674" spans="3:16">
      <c r="C674" s="779">
        <f>IF(D616="","-",+C673+1)</f>
        <v>2068</v>
      </c>
      <c r="D674" s="727">
        <f t="shared" si="57"/>
        <v>0</v>
      </c>
      <c r="E674" s="780">
        <f t="shared" si="59"/>
        <v>0</v>
      </c>
      <c r="F674" s="780">
        <f t="shared" si="53"/>
        <v>0</v>
      </c>
      <c r="G674" s="727">
        <f t="shared" si="58"/>
        <v>0</v>
      </c>
      <c r="H674" s="785">
        <f>+J617*G674+E674</f>
        <v>0</v>
      </c>
      <c r="I674" s="786">
        <f>+J618*G674+E674</f>
        <v>0</v>
      </c>
      <c r="J674" s="783">
        <f t="shared" si="60"/>
        <v>0</v>
      </c>
      <c r="K674" s="783"/>
      <c r="L674" s="1304"/>
      <c r="M674" s="783">
        <f t="shared" si="54"/>
        <v>0</v>
      </c>
      <c r="N674" s="1304"/>
      <c r="O674" s="783">
        <f t="shared" si="55"/>
        <v>0</v>
      </c>
      <c r="P674" s="783">
        <f t="shared" si="56"/>
        <v>0</v>
      </c>
    </row>
    <row r="675" spans="3:16">
      <c r="C675" s="779">
        <f>IF(D616="","-",+C674+1)</f>
        <v>2069</v>
      </c>
      <c r="D675" s="727">
        <f t="shared" si="57"/>
        <v>0</v>
      </c>
      <c r="E675" s="780">
        <f t="shared" si="59"/>
        <v>0</v>
      </c>
      <c r="F675" s="780">
        <f t="shared" si="53"/>
        <v>0</v>
      </c>
      <c r="G675" s="727">
        <f t="shared" si="58"/>
        <v>0</v>
      </c>
      <c r="H675" s="785">
        <f>+J617*G675+E675</f>
        <v>0</v>
      </c>
      <c r="I675" s="786">
        <f>+J618*G675+E675</f>
        <v>0</v>
      </c>
      <c r="J675" s="783">
        <f t="shared" si="60"/>
        <v>0</v>
      </c>
      <c r="K675" s="783"/>
      <c r="L675" s="1304"/>
      <c r="M675" s="783">
        <f t="shared" si="54"/>
        <v>0</v>
      </c>
      <c r="N675" s="1304"/>
      <c r="O675" s="783">
        <f t="shared" si="55"/>
        <v>0</v>
      </c>
      <c r="P675" s="783">
        <f t="shared" si="56"/>
        <v>0</v>
      </c>
    </row>
    <row r="676" spans="3:16">
      <c r="C676" s="779">
        <f>IF(D616="","-",+C675+1)</f>
        <v>2070</v>
      </c>
      <c r="D676" s="727">
        <f t="shared" ref="D676:D681" si="61">F675</f>
        <v>0</v>
      </c>
      <c r="E676" s="780">
        <f t="shared" si="59"/>
        <v>0</v>
      </c>
      <c r="F676" s="780">
        <f t="shared" si="53"/>
        <v>0</v>
      </c>
      <c r="G676" s="727">
        <f t="shared" si="58"/>
        <v>0</v>
      </c>
      <c r="H676" s="785">
        <f>+J617*G676+E676</f>
        <v>0</v>
      </c>
      <c r="I676" s="786">
        <f>+J618*G676+E676</f>
        <v>0</v>
      </c>
      <c r="J676" s="783">
        <f t="shared" si="60"/>
        <v>0</v>
      </c>
      <c r="K676" s="783"/>
      <c r="L676" s="1304"/>
      <c r="M676" s="783">
        <f t="shared" si="54"/>
        <v>0</v>
      </c>
      <c r="N676" s="1304"/>
      <c r="O676" s="783">
        <f t="shared" si="55"/>
        <v>0</v>
      </c>
      <c r="P676" s="783">
        <f t="shared" si="56"/>
        <v>0</v>
      </c>
    </row>
    <row r="677" spans="3:16">
      <c r="C677" s="779">
        <f>IF(D616="","-",+C676+1)</f>
        <v>2071</v>
      </c>
      <c r="D677" s="727">
        <f t="shared" si="61"/>
        <v>0</v>
      </c>
      <c r="E677" s="780">
        <f t="shared" si="59"/>
        <v>0</v>
      </c>
      <c r="F677" s="780">
        <f t="shared" si="53"/>
        <v>0</v>
      </c>
      <c r="G677" s="727">
        <f t="shared" si="58"/>
        <v>0</v>
      </c>
      <c r="H677" s="785">
        <f>+J617*G677+E677</f>
        <v>0</v>
      </c>
      <c r="I677" s="786">
        <f>+J618*G677+E677</f>
        <v>0</v>
      </c>
      <c r="J677" s="783">
        <f t="shared" si="60"/>
        <v>0</v>
      </c>
      <c r="K677" s="783"/>
      <c r="L677" s="1304"/>
      <c r="M677" s="783">
        <f t="shared" si="54"/>
        <v>0</v>
      </c>
      <c r="N677" s="1304"/>
      <c r="O677" s="783">
        <f t="shared" si="55"/>
        <v>0</v>
      </c>
      <c r="P677" s="783">
        <f t="shared" si="56"/>
        <v>0</v>
      </c>
    </row>
    <row r="678" spans="3:16">
      <c r="C678" s="779">
        <f>IF(D616="","-",+C677+1)</f>
        <v>2072</v>
      </c>
      <c r="D678" s="727">
        <f t="shared" si="61"/>
        <v>0</v>
      </c>
      <c r="E678" s="780">
        <f t="shared" si="59"/>
        <v>0</v>
      </c>
      <c r="F678" s="780">
        <f t="shared" si="53"/>
        <v>0</v>
      </c>
      <c r="G678" s="727">
        <f t="shared" si="58"/>
        <v>0</v>
      </c>
      <c r="H678" s="785">
        <f>+J617*G678+E678</f>
        <v>0</v>
      </c>
      <c r="I678" s="786">
        <f>+J618*G678+E678</f>
        <v>0</v>
      </c>
      <c r="J678" s="783">
        <f t="shared" si="60"/>
        <v>0</v>
      </c>
      <c r="K678" s="783"/>
      <c r="L678" s="1304"/>
      <c r="M678" s="783">
        <f t="shared" si="54"/>
        <v>0</v>
      </c>
      <c r="N678" s="1304"/>
      <c r="O678" s="783">
        <f t="shared" si="55"/>
        <v>0</v>
      </c>
      <c r="P678" s="783">
        <f t="shared" si="56"/>
        <v>0</v>
      </c>
    </row>
    <row r="679" spans="3:16">
      <c r="C679" s="779">
        <f>IF(D616="","-",+C678+1)</f>
        <v>2073</v>
      </c>
      <c r="D679" s="727">
        <f t="shared" si="61"/>
        <v>0</v>
      </c>
      <c r="E679" s="780">
        <f t="shared" si="59"/>
        <v>0</v>
      </c>
      <c r="F679" s="780">
        <f t="shared" si="53"/>
        <v>0</v>
      </c>
      <c r="G679" s="727">
        <f t="shared" si="58"/>
        <v>0</v>
      </c>
      <c r="H679" s="785">
        <f>+J617*G679+E679</f>
        <v>0</v>
      </c>
      <c r="I679" s="786">
        <f>+J618*G679+E679</f>
        <v>0</v>
      </c>
      <c r="J679" s="783">
        <f t="shared" si="60"/>
        <v>0</v>
      </c>
      <c r="K679" s="783"/>
      <c r="L679" s="1304"/>
      <c r="M679" s="783">
        <f t="shared" si="54"/>
        <v>0</v>
      </c>
      <c r="N679" s="1304"/>
      <c r="O679" s="783">
        <f t="shared" si="55"/>
        <v>0</v>
      </c>
      <c r="P679" s="783">
        <f t="shared" si="56"/>
        <v>0</v>
      </c>
    </row>
    <row r="680" spans="3:16">
      <c r="C680" s="779">
        <f>IF(D616="","-",+C679+1)</f>
        <v>2074</v>
      </c>
      <c r="D680" s="727">
        <f t="shared" si="61"/>
        <v>0</v>
      </c>
      <c r="E680" s="780">
        <f t="shared" si="59"/>
        <v>0</v>
      </c>
      <c r="F680" s="780">
        <f t="shared" si="53"/>
        <v>0</v>
      </c>
      <c r="G680" s="727">
        <f t="shared" si="58"/>
        <v>0</v>
      </c>
      <c r="H680" s="785">
        <f>+J617*G680+E680</f>
        <v>0</v>
      </c>
      <c r="I680" s="786">
        <f>+J618*G680+E680</f>
        <v>0</v>
      </c>
      <c r="J680" s="783">
        <f t="shared" si="60"/>
        <v>0</v>
      </c>
      <c r="K680" s="783"/>
      <c r="L680" s="1304"/>
      <c r="M680" s="783">
        <f t="shared" si="54"/>
        <v>0</v>
      </c>
      <c r="N680" s="1304"/>
      <c r="O680" s="783">
        <f t="shared" si="55"/>
        <v>0</v>
      </c>
      <c r="P680" s="783">
        <f t="shared" si="56"/>
        <v>0</v>
      </c>
    </row>
    <row r="681" spans="3:16" ht="13.5" thickBot="1">
      <c r="C681" s="789">
        <f>IF(D616="","-",+C680+1)</f>
        <v>2075</v>
      </c>
      <c r="D681" s="790">
        <f t="shared" si="61"/>
        <v>0</v>
      </c>
      <c r="E681" s="791">
        <f t="shared" si="59"/>
        <v>0</v>
      </c>
      <c r="F681" s="791">
        <f t="shared" si="53"/>
        <v>0</v>
      </c>
      <c r="G681" s="790">
        <f t="shared" si="58"/>
        <v>0</v>
      </c>
      <c r="H681" s="792">
        <f>+J617*G681+E681</f>
        <v>0</v>
      </c>
      <c r="I681" s="792">
        <f>+J618*G681+E681</f>
        <v>0</v>
      </c>
      <c r="J681" s="793">
        <f t="shared" si="60"/>
        <v>0</v>
      </c>
      <c r="K681" s="783"/>
      <c r="L681" s="1305"/>
      <c r="M681" s="793">
        <f t="shared" si="54"/>
        <v>0</v>
      </c>
      <c r="N681" s="1305"/>
      <c r="O681" s="793">
        <f t="shared" si="55"/>
        <v>0</v>
      </c>
      <c r="P681" s="793">
        <f t="shared" si="56"/>
        <v>0</v>
      </c>
    </row>
    <row r="682" spans="3:16">
      <c r="C682" s="727" t="s">
        <v>93</v>
      </c>
      <c r="D682" s="721"/>
      <c r="E682" s="721">
        <f>SUM(E622:E681)</f>
        <v>50142658.399999991</v>
      </c>
      <c r="F682" s="721"/>
      <c r="G682" s="721"/>
      <c r="H682" s="721">
        <f>SUM(H622:H681)</f>
        <v>159572758.51958635</v>
      </c>
      <c r="I682" s="721">
        <f>SUM(I622:I681)</f>
        <v>159572758.51958635</v>
      </c>
      <c r="J682" s="721">
        <f>SUM(J622:J681)</f>
        <v>0</v>
      </c>
      <c r="K682" s="721"/>
      <c r="L682" s="721"/>
      <c r="M682" s="721"/>
      <c r="N682" s="721"/>
      <c r="O682" s="721"/>
    </row>
    <row r="683" spans="3:16">
      <c r="D683" s="529"/>
      <c r="E683" s="308"/>
      <c r="F683" s="308"/>
      <c r="G683" s="308"/>
      <c r="H683" s="308"/>
      <c r="I683" s="699"/>
      <c r="J683" s="699"/>
      <c r="K683" s="721"/>
      <c r="L683" s="699"/>
      <c r="M683" s="699"/>
      <c r="N683" s="699"/>
      <c r="O683" s="699"/>
    </row>
    <row r="684" spans="3:16">
      <c r="C684" s="308" t="s">
        <v>15</v>
      </c>
      <c r="D684" s="529"/>
      <c r="E684" s="308"/>
      <c r="F684" s="308"/>
      <c r="G684" s="308"/>
      <c r="H684" s="308"/>
      <c r="I684" s="699"/>
      <c r="J684" s="699"/>
      <c r="K684" s="721"/>
      <c r="L684" s="699"/>
      <c r="M684" s="699"/>
      <c r="N684" s="699"/>
      <c r="O684" s="699"/>
    </row>
    <row r="685" spans="3:16">
      <c r="C685" s="308"/>
      <c r="D685" s="529"/>
      <c r="E685" s="308"/>
      <c r="F685" s="308"/>
      <c r="G685" s="308"/>
      <c r="H685" s="308"/>
      <c r="I685" s="699"/>
      <c r="J685" s="699"/>
      <c r="K685" s="721"/>
      <c r="L685" s="699"/>
      <c r="M685" s="699"/>
      <c r="N685" s="699"/>
      <c r="O685" s="699"/>
    </row>
    <row r="686" spans="3:16">
      <c r="C686" s="740" t="s">
        <v>16</v>
      </c>
      <c r="D686" s="727"/>
      <c r="E686" s="727"/>
      <c r="F686" s="727"/>
      <c r="G686" s="727"/>
      <c r="H686" s="721"/>
      <c r="I686" s="721"/>
      <c r="J686" s="795"/>
      <c r="K686" s="795"/>
      <c r="L686" s="795"/>
      <c r="M686" s="795"/>
      <c r="N686" s="795"/>
      <c r="O686" s="795"/>
    </row>
    <row r="687" spans="3:16">
      <c r="C687" s="726" t="s">
        <v>273</v>
      </c>
      <c r="D687" s="727"/>
      <c r="E687" s="727"/>
      <c r="F687" s="727"/>
      <c r="G687" s="727"/>
      <c r="H687" s="721"/>
      <c r="I687" s="721"/>
      <c r="J687" s="795"/>
      <c r="K687" s="795"/>
      <c r="L687" s="795"/>
      <c r="M687" s="795"/>
      <c r="N687" s="795"/>
      <c r="O687" s="795"/>
    </row>
    <row r="688" spans="3:16">
      <c r="C688" s="726" t="s">
        <v>94</v>
      </c>
      <c r="D688" s="727"/>
      <c r="E688" s="727"/>
      <c r="F688" s="727"/>
      <c r="G688" s="727"/>
      <c r="H688" s="721"/>
      <c r="I688" s="721"/>
      <c r="J688" s="795"/>
      <c r="K688" s="795"/>
      <c r="L688" s="795"/>
      <c r="M688" s="795"/>
      <c r="N688" s="795"/>
      <c r="O688" s="795"/>
    </row>
    <row r="689" spans="1:17">
      <c r="C689" s="726"/>
      <c r="D689" s="727"/>
      <c r="E689" s="727"/>
      <c r="F689" s="727"/>
      <c r="G689" s="727"/>
      <c r="H689" s="721"/>
      <c r="I689" s="721"/>
      <c r="J689" s="795"/>
      <c r="K689" s="795"/>
      <c r="L689" s="795"/>
      <c r="M689" s="795"/>
      <c r="N689" s="795"/>
      <c r="O689" s="795"/>
    </row>
    <row r="690" spans="1:17" ht="20.25">
      <c r="A690" s="728" t="str">
        <f>""&amp;A610&amp;" Worksheet K -  ATRR TRUE-UP Calculation for PJM Projects Charged to Benefiting Zones"</f>
        <v xml:space="preserve"> Worksheet K -  ATRR TRUE-UP Calculation for PJM Projects Charged to Benefiting Zones</v>
      </c>
      <c r="B690" s="341"/>
      <c r="C690" s="716"/>
      <c r="D690" s="529"/>
      <c r="E690" s="308"/>
      <c r="F690" s="698"/>
      <c r="G690" s="698"/>
      <c r="H690" s="308"/>
      <c r="I690" s="699"/>
      <c r="L690" s="555"/>
      <c r="M690" s="555"/>
      <c r="N690" s="555"/>
      <c r="O690" s="644" t="str">
        <f>"Page "&amp;SUM(Q$8:Q690)&amp;" of "</f>
        <v xml:space="preserve">Page 8 of </v>
      </c>
      <c r="P690" s="645">
        <f>COUNT(Q$8:Q$56657)</f>
        <v>10</v>
      </c>
      <c r="Q690" s="172">
        <v>1</v>
      </c>
    </row>
    <row r="691" spans="1:17">
      <c r="B691" s="341"/>
      <c r="C691" s="308"/>
      <c r="D691" s="529"/>
      <c r="E691" s="308"/>
      <c r="F691" s="308"/>
      <c r="G691" s="308"/>
      <c r="H691" s="308"/>
      <c r="I691" s="699"/>
      <c r="J691" s="308"/>
      <c r="K691" s="418"/>
    </row>
    <row r="692" spans="1:17" ht="18">
      <c r="B692" s="648" t="s">
        <v>474</v>
      </c>
      <c r="C692" s="730" t="s">
        <v>95</v>
      </c>
      <c r="D692" s="529"/>
      <c r="E692" s="308"/>
      <c r="F692" s="308"/>
      <c r="G692" s="308"/>
      <c r="H692" s="308"/>
      <c r="I692" s="699"/>
      <c r="J692" s="699"/>
      <c r="K692" s="721"/>
      <c r="L692" s="699"/>
      <c r="M692" s="699"/>
      <c r="N692" s="699"/>
      <c r="O692" s="699"/>
    </row>
    <row r="693" spans="1:17" ht="18.75">
      <c r="B693" s="648"/>
      <c r="C693" s="647"/>
      <c r="D693" s="529"/>
      <c r="E693" s="308"/>
      <c r="F693" s="308"/>
      <c r="G693" s="308"/>
      <c r="H693" s="308"/>
      <c r="I693" s="699"/>
      <c r="J693" s="699"/>
      <c r="K693" s="721"/>
      <c r="L693" s="699"/>
      <c r="M693" s="699"/>
      <c r="N693" s="699"/>
      <c r="O693" s="699"/>
    </row>
    <row r="694" spans="1:17" ht="18.75">
      <c r="B694" s="648"/>
      <c r="C694" s="647" t="s">
        <v>96</v>
      </c>
      <c r="D694" s="529"/>
      <c r="E694" s="308"/>
      <c r="F694" s="308"/>
      <c r="G694" s="308"/>
      <c r="H694" s="308"/>
      <c r="I694" s="699"/>
      <c r="J694" s="699"/>
      <c r="K694" s="721"/>
      <c r="L694" s="699"/>
      <c r="M694" s="699"/>
      <c r="N694" s="699"/>
      <c r="O694" s="699"/>
    </row>
    <row r="695" spans="1:17" ht="15.75" thickBot="1">
      <c r="C695" s="239"/>
      <c r="D695" s="529"/>
      <c r="E695" s="308"/>
      <c r="F695" s="308"/>
      <c r="G695" s="308"/>
      <c r="H695" s="308"/>
      <c r="I695" s="699"/>
      <c r="J695" s="699"/>
      <c r="K695" s="721"/>
      <c r="L695" s="699"/>
      <c r="M695" s="699"/>
      <c r="N695" s="699"/>
      <c r="O695" s="699"/>
    </row>
    <row r="696" spans="1:17" ht="15.75">
      <c r="C696" s="650" t="s">
        <v>97</v>
      </c>
      <c r="D696" s="529"/>
      <c r="E696" s="308"/>
      <c r="F696" s="308"/>
      <c r="G696" s="308"/>
      <c r="H696" s="797"/>
      <c r="I696" s="308" t="s">
        <v>76</v>
      </c>
      <c r="J696" s="308"/>
      <c r="K696" s="418"/>
      <c r="L696" s="826">
        <f>+J702</f>
        <v>2022</v>
      </c>
      <c r="M696" s="807" t="s">
        <v>54</v>
      </c>
      <c r="N696" s="807" t="s">
        <v>55</v>
      </c>
      <c r="O696" s="808" t="s">
        <v>57</v>
      </c>
    </row>
    <row r="697" spans="1:17" ht="15.75">
      <c r="C697" s="650"/>
      <c r="D697" s="529"/>
      <c r="E697" s="308"/>
      <c r="F697" s="308"/>
      <c r="H697" s="308"/>
      <c r="I697" s="735"/>
      <c r="J697" s="735"/>
      <c r="K697" s="736"/>
      <c r="L697" s="827" t="s">
        <v>245</v>
      </c>
      <c r="M697" s="828">
        <f>VLOOKUP(J702,C709:P768,10)</f>
        <v>7752754.0788356252</v>
      </c>
      <c r="N697" s="828">
        <f>VLOOKUP(J702,C709:P768,12)</f>
        <v>7752754.0788356252</v>
      </c>
      <c r="O697" s="829">
        <f>+N697-M697</f>
        <v>0</v>
      </c>
    </row>
    <row r="698" spans="1:17" ht="12.95" customHeight="1">
      <c r="C698" s="740" t="s">
        <v>98</v>
      </c>
      <c r="D698" s="1553" t="s">
        <v>824</v>
      </c>
      <c r="E698" s="1553"/>
      <c r="F698" s="1553"/>
      <c r="G698" s="1553"/>
      <c r="H698" s="1553"/>
      <c r="I698" s="1553"/>
      <c r="J698" s="699"/>
      <c r="K698" s="721"/>
      <c r="L698" s="827" t="s">
        <v>246</v>
      </c>
      <c r="M698" s="830">
        <f>VLOOKUP(J702,C709:P768,6)</f>
        <v>7815204.6542920871</v>
      </c>
      <c r="N698" s="830">
        <f>VLOOKUP(J702,C709:P768,7)</f>
        <v>7815204.6542920871</v>
      </c>
      <c r="O698" s="831">
        <f>+N698-M698</f>
        <v>0</v>
      </c>
    </row>
    <row r="699" spans="1:17" ht="13.5" thickBot="1">
      <c r="C699" s="744"/>
      <c r="D699" s="1553"/>
      <c r="E699" s="1553"/>
      <c r="F699" s="1553"/>
      <c r="G699" s="1553"/>
      <c r="H699" s="1553"/>
      <c r="I699" s="1553"/>
      <c r="J699" s="699"/>
      <c r="K699" s="721"/>
      <c r="L699" s="763" t="s">
        <v>247</v>
      </c>
      <c r="M699" s="832">
        <f>+M698-M697</f>
        <v>62450.575456461869</v>
      </c>
      <c r="N699" s="832">
        <f>+N698-N697</f>
        <v>62450.575456461869</v>
      </c>
      <c r="O699" s="833">
        <f>+O698-O697</f>
        <v>0</v>
      </c>
    </row>
    <row r="700" spans="1:17" ht="13.5" thickBot="1">
      <c r="C700" s="747"/>
      <c r="D700" s="748"/>
      <c r="E700" s="746"/>
      <c r="F700" s="746"/>
      <c r="G700" s="746"/>
      <c r="H700" s="746"/>
      <c r="I700" s="746"/>
      <c r="J700" s="746"/>
      <c r="K700" s="749"/>
      <c r="L700" s="746"/>
      <c r="M700" s="746"/>
      <c r="N700" s="746"/>
      <c r="O700" s="746"/>
      <c r="P700" s="341"/>
    </row>
    <row r="701" spans="1:17" ht="13.5" thickBot="1">
      <c r="C701" s="750" t="s">
        <v>99</v>
      </c>
      <c r="D701" s="751"/>
      <c r="E701" s="751"/>
      <c r="F701" s="751"/>
      <c r="G701" s="751"/>
      <c r="H701" s="751"/>
      <c r="I701" s="751"/>
      <c r="J701" s="751"/>
      <c r="K701" s="753"/>
      <c r="P701" s="754"/>
    </row>
    <row r="702" spans="1:17" ht="15">
      <c r="A702" s="1331"/>
      <c r="C702" s="755" t="s">
        <v>77</v>
      </c>
      <c r="D702" s="799">
        <v>62476006.199999996</v>
      </c>
      <c r="E702" s="716" t="s">
        <v>78</v>
      </c>
      <c r="H702" s="756"/>
      <c r="I702" s="756"/>
      <c r="J702" s="757">
        <f>$J$93</f>
        <v>2022</v>
      </c>
      <c r="K702" s="545"/>
      <c r="L702" s="1554" t="s">
        <v>79</v>
      </c>
      <c r="M702" s="1554"/>
      <c r="N702" s="1554"/>
      <c r="O702" s="1554"/>
      <c r="P702" s="418"/>
    </row>
    <row r="703" spans="1:17">
      <c r="C703" s="755" t="s">
        <v>80</v>
      </c>
      <c r="D703" s="1301">
        <v>2016</v>
      </c>
      <c r="E703" s="755" t="s">
        <v>81</v>
      </c>
      <c r="F703" s="756"/>
      <c r="G703" s="756"/>
      <c r="I703" s="172"/>
      <c r="J703" s="801">
        <f>IF(H696="",0,$F$17)</f>
        <v>0</v>
      </c>
      <c r="K703" s="758"/>
      <c r="L703" s="721" t="s">
        <v>287</v>
      </c>
      <c r="P703" s="418"/>
    </row>
    <row r="704" spans="1:17">
      <c r="C704" s="755" t="s">
        <v>82</v>
      </c>
      <c r="D704" s="799">
        <v>12</v>
      </c>
      <c r="E704" s="755" t="s">
        <v>83</v>
      </c>
      <c r="F704" s="756"/>
      <c r="G704" s="756"/>
      <c r="I704" s="172"/>
      <c r="J704" s="759">
        <f>$F$70</f>
        <v>0.11486185889303469</v>
      </c>
      <c r="K704" s="760"/>
      <c r="L704" s="308" t="str">
        <f>"          INPUT TRUE-UP ARR (WITH &amp; WITHOUT INCENTIVES) FROM EACH PRIOR YEAR"</f>
        <v xml:space="preserve">          INPUT TRUE-UP ARR (WITH &amp; WITHOUT INCENTIVES) FROM EACH PRIOR YEAR</v>
      </c>
      <c r="P704" s="418"/>
    </row>
    <row r="705" spans="2:16">
      <c r="C705" s="755" t="s">
        <v>84</v>
      </c>
      <c r="D705" s="761">
        <f>H$79</f>
        <v>36</v>
      </c>
      <c r="E705" s="755" t="s">
        <v>85</v>
      </c>
      <c r="F705" s="756"/>
      <c r="G705" s="756"/>
      <c r="I705" s="172"/>
      <c r="J705" s="759">
        <f>IF(H696="",+J704,$F$69)</f>
        <v>0.11486185889303469</v>
      </c>
      <c r="K705" s="762"/>
      <c r="L705" s="308" t="s">
        <v>167</v>
      </c>
      <c r="M705" s="762"/>
      <c r="N705" s="762"/>
      <c r="O705" s="762"/>
      <c r="P705" s="418"/>
    </row>
    <row r="706" spans="2:16" ht="13.5" thickBot="1">
      <c r="C706" s="755" t="s">
        <v>86</v>
      </c>
      <c r="D706" s="1322" t="s">
        <v>814</v>
      </c>
      <c r="E706" s="763" t="s">
        <v>87</v>
      </c>
      <c r="F706" s="764"/>
      <c r="G706" s="764"/>
      <c r="H706" s="765"/>
      <c r="I706" s="765"/>
      <c r="J706" s="743">
        <f>IF(D702=0,0,D702/D705)</f>
        <v>1735444.6166666665</v>
      </c>
      <c r="K706" s="721"/>
      <c r="L706" s="721" t="s">
        <v>168</v>
      </c>
      <c r="M706" s="721"/>
      <c r="N706" s="721"/>
      <c r="O706" s="721"/>
      <c r="P706" s="418"/>
    </row>
    <row r="707" spans="2:16" ht="38.25">
      <c r="B707" s="836"/>
      <c r="C707" s="766" t="s">
        <v>77</v>
      </c>
      <c r="D707" s="767" t="s">
        <v>88</v>
      </c>
      <c r="E707" s="768" t="s">
        <v>89</v>
      </c>
      <c r="F707" s="767" t="s">
        <v>90</v>
      </c>
      <c r="G707" s="767" t="s">
        <v>248</v>
      </c>
      <c r="H707" s="768" t="s">
        <v>161</v>
      </c>
      <c r="I707" s="769" t="s">
        <v>161</v>
      </c>
      <c r="J707" s="766" t="s">
        <v>100</v>
      </c>
      <c r="K707" s="770"/>
      <c r="L707" s="768" t="s">
        <v>163</v>
      </c>
      <c r="M707" s="768" t="s">
        <v>169</v>
      </c>
      <c r="N707" s="768" t="s">
        <v>163</v>
      </c>
      <c r="O707" s="768" t="s">
        <v>171</v>
      </c>
      <c r="P707" s="768" t="s">
        <v>91</v>
      </c>
    </row>
    <row r="708" spans="2:16" ht="13.5" thickBot="1">
      <c r="C708" s="772" t="s">
        <v>477</v>
      </c>
      <c r="D708" s="773" t="s">
        <v>478</v>
      </c>
      <c r="E708" s="772" t="s">
        <v>371</v>
      </c>
      <c r="F708" s="773" t="s">
        <v>478</v>
      </c>
      <c r="G708" s="773" t="s">
        <v>478</v>
      </c>
      <c r="H708" s="774" t="s">
        <v>103</v>
      </c>
      <c r="I708" s="775" t="s">
        <v>105</v>
      </c>
      <c r="J708" s="776" t="s">
        <v>17</v>
      </c>
      <c r="K708" s="777"/>
      <c r="L708" s="774" t="s">
        <v>92</v>
      </c>
      <c r="M708" s="774" t="s">
        <v>92</v>
      </c>
      <c r="N708" s="774" t="s">
        <v>265</v>
      </c>
      <c r="O708" s="774" t="s">
        <v>265</v>
      </c>
      <c r="P708" s="774" t="s">
        <v>265</v>
      </c>
    </row>
    <row r="709" spans="2:16">
      <c r="C709" s="779">
        <f>IF(D703= "","-",D703)</f>
        <v>2016</v>
      </c>
      <c r="D709" s="727">
        <f>+D702</f>
        <v>62476006.199999996</v>
      </c>
      <c r="E709" s="785">
        <f>+J706/12*(12-D704)</f>
        <v>0</v>
      </c>
      <c r="F709" s="834">
        <f t="shared" ref="F709:F768" si="62">+D709-E709</f>
        <v>62476006.199999996</v>
      </c>
      <c r="G709" s="727">
        <f>+(D709+F709)/2</f>
        <v>62476006.199999996</v>
      </c>
      <c r="H709" s="781">
        <f>+J704*G709+E709</f>
        <v>7176110.2083447594</v>
      </c>
      <c r="I709" s="782">
        <f>+J705*G709+E709</f>
        <v>7176110.2083447594</v>
      </c>
      <c r="J709" s="783">
        <f>+I709-H709</f>
        <v>0</v>
      </c>
      <c r="K709" s="783"/>
      <c r="L709" s="1303">
        <v>5764647</v>
      </c>
      <c r="M709" s="835">
        <f t="shared" ref="M709:M768" si="63">IF(L709&lt;&gt;0,+H709-L709,0)</f>
        <v>1411463.2083447594</v>
      </c>
      <c r="N709" s="1303">
        <v>5764647</v>
      </c>
      <c r="O709" s="835">
        <f t="shared" ref="O709:O768" si="64">IF(N709&lt;&gt;0,+I709-N709,0)</f>
        <v>1411463.2083447594</v>
      </c>
      <c r="P709" s="835">
        <f t="shared" ref="P709:P768" si="65">+O709-M709</f>
        <v>0</v>
      </c>
    </row>
    <row r="710" spans="2:16">
      <c r="C710" s="779">
        <f>IF(D703="","-",+C709+1)</f>
        <v>2017</v>
      </c>
      <c r="D710" s="727">
        <f t="shared" ref="D710:D762" si="66">F709</f>
        <v>62476006.199999996</v>
      </c>
      <c r="E710" s="780">
        <f>IF(D710&gt;$J$706,$J$706,D710)</f>
        <v>1735444.6166666665</v>
      </c>
      <c r="F710" s="780">
        <f t="shared" si="62"/>
        <v>60740561.583333328</v>
      </c>
      <c r="G710" s="727">
        <f t="shared" ref="G710:G768" si="67">+(D710+F710)/2</f>
        <v>61608283.891666666</v>
      </c>
      <c r="H710" s="785">
        <f>+J704*G710+E710</f>
        <v>8811886.6276733056</v>
      </c>
      <c r="I710" s="786">
        <f>+J705*G710+E710</f>
        <v>8811886.6276733056</v>
      </c>
      <c r="J710" s="783">
        <f>+I710-H710</f>
        <v>0</v>
      </c>
      <c r="K710" s="783"/>
      <c r="L710" s="1304">
        <v>7201236</v>
      </c>
      <c r="M710" s="783">
        <f t="shared" si="63"/>
        <v>1610650.6276733056</v>
      </c>
      <c r="N710" s="1304">
        <v>7201236</v>
      </c>
      <c r="O710" s="783">
        <f t="shared" si="64"/>
        <v>1610650.6276733056</v>
      </c>
      <c r="P710" s="783">
        <f t="shared" si="65"/>
        <v>0</v>
      </c>
    </row>
    <row r="711" spans="2:16">
      <c r="C711" s="779">
        <f>IF(D703="","-",+C710+1)</f>
        <v>2018</v>
      </c>
      <c r="D711" s="1393">
        <f t="shared" si="66"/>
        <v>60740561.583333328</v>
      </c>
      <c r="E711" s="780">
        <f t="shared" ref="E711:E768" si="68">IF(D711&gt;$J$706,$J$706,D711)</f>
        <v>1735444.6166666665</v>
      </c>
      <c r="F711" s="780">
        <f t="shared" si="62"/>
        <v>59005116.966666661</v>
      </c>
      <c r="G711" s="727">
        <f t="shared" si="67"/>
        <v>59872839.274999991</v>
      </c>
      <c r="H711" s="785">
        <f>+J704*G711+E711</f>
        <v>8612550.2329970617</v>
      </c>
      <c r="I711" s="786">
        <f>+J705*G711+E711</f>
        <v>8612550.2329970617</v>
      </c>
      <c r="J711" s="783">
        <f t="shared" ref="J711:J768" si="69">+I711-H711</f>
        <v>0</v>
      </c>
      <c r="K711" s="783"/>
      <c r="L711" s="1304">
        <v>7115546</v>
      </c>
      <c r="M711" s="783">
        <f t="shared" si="63"/>
        <v>1497004.2329970617</v>
      </c>
      <c r="N711" s="1304">
        <v>7115546</v>
      </c>
      <c r="O711" s="783">
        <f t="shared" si="64"/>
        <v>1497004.2329970617</v>
      </c>
      <c r="P711" s="783">
        <f t="shared" si="65"/>
        <v>0</v>
      </c>
    </row>
    <row r="712" spans="2:16">
      <c r="C712" s="779">
        <f>IF(D703="","-",+C711+1)</f>
        <v>2019</v>
      </c>
      <c r="D712" s="727">
        <f t="shared" si="66"/>
        <v>59005116.966666661</v>
      </c>
      <c r="E712" s="780">
        <f t="shared" si="68"/>
        <v>1735444.6166666665</v>
      </c>
      <c r="F712" s="780">
        <f t="shared" si="62"/>
        <v>57269672.349999994</v>
      </c>
      <c r="G712" s="727">
        <f t="shared" si="67"/>
        <v>58137394.658333331</v>
      </c>
      <c r="H712" s="785">
        <f>+J704*G712+E712</f>
        <v>8413213.8383208178</v>
      </c>
      <c r="I712" s="786">
        <f>+J705*G712+E712</f>
        <v>8413213.8383208178</v>
      </c>
      <c r="J712" s="783">
        <f t="shared" si="69"/>
        <v>0</v>
      </c>
      <c r="K712" s="783"/>
      <c r="L712" s="1304">
        <v>7533264</v>
      </c>
      <c r="M712" s="783">
        <f t="shared" si="63"/>
        <v>879949.8383208178</v>
      </c>
      <c r="N712" s="1304">
        <v>7533264</v>
      </c>
      <c r="O712" s="783">
        <f t="shared" si="64"/>
        <v>879949.8383208178</v>
      </c>
      <c r="P712" s="783">
        <f t="shared" si="65"/>
        <v>0</v>
      </c>
    </row>
    <row r="713" spans="2:16">
      <c r="C713" s="779">
        <f>IF(D703="","-",+C712+1)</f>
        <v>2020</v>
      </c>
      <c r="D713" s="1323">
        <f t="shared" si="66"/>
        <v>57269672.349999994</v>
      </c>
      <c r="E713" s="780">
        <f t="shared" si="68"/>
        <v>1735444.6166666665</v>
      </c>
      <c r="F713" s="780">
        <f t="shared" si="62"/>
        <v>55534227.733333327</v>
      </c>
      <c r="G713" s="727">
        <f t="shared" si="67"/>
        <v>56401950.041666657</v>
      </c>
      <c r="H713" s="785">
        <f>+J704*G713+E713</f>
        <v>8213877.4436445739</v>
      </c>
      <c r="I713" s="786">
        <f>+J705*G713+E713</f>
        <v>8213877.4436445739</v>
      </c>
      <c r="J713" s="783">
        <f t="shared" si="69"/>
        <v>0</v>
      </c>
      <c r="K713" s="783"/>
      <c r="L713" s="1304">
        <v>4004462.7144813207</v>
      </c>
      <c r="M713" s="783">
        <f t="shared" si="63"/>
        <v>4209414.7291632537</v>
      </c>
      <c r="N713" s="1304">
        <v>4004462.7144813207</v>
      </c>
      <c r="O713" s="783">
        <f t="shared" si="64"/>
        <v>4209414.7291632537</v>
      </c>
      <c r="P713" s="783">
        <f t="shared" si="65"/>
        <v>0</v>
      </c>
    </row>
    <row r="714" spans="2:16">
      <c r="C714" s="779">
        <f>IF(D703="","-",+C713+1)</f>
        <v>2021</v>
      </c>
      <c r="D714" s="1323">
        <f t="shared" si="66"/>
        <v>55534227.733333327</v>
      </c>
      <c r="E714" s="780">
        <f t="shared" si="68"/>
        <v>1735444.6166666665</v>
      </c>
      <c r="F714" s="780">
        <f t="shared" si="62"/>
        <v>53798783.11666666</v>
      </c>
      <c r="G714" s="727">
        <f t="shared" si="67"/>
        <v>54666505.424999997</v>
      </c>
      <c r="H714" s="785">
        <f>+J704*G714+E714</f>
        <v>8014541.048968331</v>
      </c>
      <c r="I714" s="786">
        <f>+J705*G714+E714</f>
        <v>8014541.048968331</v>
      </c>
      <c r="J714" s="783">
        <f t="shared" si="69"/>
        <v>0</v>
      </c>
      <c r="K714" s="783"/>
      <c r="L714" s="1304">
        <v>7598316.548162899</v>
      </c>
      <c r="M714" s="783">
        <f t="shared" si="63"/>
        <v>416224.50080543198</v>
      </c>
      <c r="N714" s="1304">
        <v>7598316.548162899</v>
      </c>
      <c r="O714" s="783">
        <f t="shared" si="64"/>
        <v>416224.50080543198</v>
      </c>
      <c r="P714" s="783">
        <f t="shared" si="65"/>
        <v>0</v>
      </c>
    </row>
    <row r="715" spans="2:16">
      <c r="C715" s="779">
        <f>IF(D703="","-",+C714+1)</f>
        <v>2022</v>
      </c>
      <c r="D715" s="1323">
        <f t="shared" si="66"/>
        <v>53798783.11666666</v>
      </c>
      <c r="E715" s="780">
        <f t="shared" si="68"/>
        <v>1735444.6166666665</v>
      </c>
      <c r="F715" s="780">
        <f t="shared" si="62"/>
        <v>52063338.499999993</v>
      </c>
      <c r="G715" s="727">
        <f t="shared" si="67"/>
        <v>52931060.808333322</v>
      </c>
      <c r="H715" s="785">
        <f>+J704*G715+E715</f>
        <v>7815204.6542920871</v>
      </c>
      <c r="I715" s="786">
        <f>+J705*G715+E715</f>
        <v>7815204.6542920871</v>
      </c>
      <c r="J715" s="783">
        <f t="shared" si="69"/>
        <v>0</v>
      </c>
      <c r="K715" s="783"/>
      <c r="L715" s="1304">
        <v>7752754.0788356252</v>
      </c>
      <c r="M715" s="783">
        <f t="shared" si="63"/>
        <v>62450.575456461869</v>
      </c>
      <c r="N715" s="1304">
        <v>7752754.0788356252</v>
      </c>
      <c r="O715" s="783">
        <f t="shared" si="64"/>
        <v>62450.575456461869</v>
      </c>
      <c r="P715" s="783">
        <f t="shared" si="65"/>
        <v>0</v>
      </c>
    </row>
    <row r="716" spans="2:16">
      <c r="C716" s="779">
        <f>IF(D703="","-",+C715+1)</f>
        <v>2023</v>
      </c>
      <c r="D716" s="727">
        <f t="shared" si="66"/>
        <v>52063338.499999993</v>
      </c>
      <c r="E716" s="780">
        <f t="shared" si="68"/>
        <v>1735444.6166666665</v>
      </c>
      <c r="F716" s="780">
        <f t="shared" si="62"/>
        <v>50327893.883333325</v>
      </c>
      <c r="G716" s="727">
        <f t="shared" si="67"/>
        <v>51195616.191666663</v>
      </c>
      <c r="H716" s="785">
        <f>+J704*G716+E716</f>
        <v>7615868.2596158441</v>
      </c>
      <c r="I716" s="786">
        <f>+J705*G716+E716</f>
        <v>7615868.2596158441</v>
      </c>
      <c r="J716" s="783">
        <f t="shared" si="69"/>
        <v>0</v>
      </c>
      <c r="K716" s="783"/>
      <c r="L716" s="1304"/>
      <c r="M716" s="783">
        <f t="shared" si="63"/>
        <v>0</v>
      </c>
      <c r="N716" s="1304"/>
      <c r="O716" s="783">
        <f t="shared" si="64"/>
        <v>0</v>
      </c>
      <c r="P716" s="783">
        <f t="shared" si="65"/>
        <v>0</v>
      </c>
    </row>
    <row r="717" spans="2:16">
      <c r="C717" s="779">
        <f>IF(D703="","-",+C716+1)</f>
        <v>2024</v>
      </c>
      <c r="D717" s="727">
        <f t="shared" si="66"/>
        <v>50327893.883333325</v>
      </c>
      <c r="E717" s="780">
        <f t="shared" si="68"/>
        <v>1735444.6166666665</v>
      </c>
      <c r="F717" s="780">
        <f t="shared" si="62"/>
        <v>48592449.266666658</v>
      </c>
      <c r="G717" s="727">
        <f t="shared" si="67"/>
        <v>49460171.574999988</v>
      </c>
      <c r="H717" s="785">
        <f>+J704*G717+E717</f>
        <v>7416531.8649396002</v>
      </c>
      <c r="I717" s="786">
        <f>+J705*G717+E717</f>
        <v>7416531.8649396002</v>
      </c>
      <c r="J717" s="783">
        <f t="shared" si="69"/>
        <v>0</v>
      </c>
      <c r="K717" s="783"/>
      <c r="L717" s="1304"/>
      <c r="M717" s="783">
        <f t="shared" si="63"/>
        <v>0</v>
      </c>
      <c r="N717" s="1304"/>
      <c r="O717" s="783">
        <f t="shared" si="64"/>
        <v>0</v>
      </c>
      <c r="P717" s="783">
        <f t="shared" si="65"/>
        <v>0</v>
      </c>
    </row>
    <row r="718" spans="2:16">
      <c r="C718" s="779">
        <f>IF(D703="","-",+C717+1)</f>
        <v>2025</v>
      </c>
      <c r="D718" s="727">
        <f t="shared" si="66"/>
        <v>48592449.266666658</v>
      </c>
      <c r="E718" s="780">
        <f t="shared" si="68"/>
        <v>1735444.6166666665</v>
      </c>
      <c r="F718" s="780">
        <f t="shared" si="62"/>
        <v>46857004.649999991</v>
      </c>
      <c r="G718" s="727">
        <f t="shared" si="67"/>
        <v>47724726.958333328</v>
      </c>
      <c r="H718" s="785">
        <f>+J704*G718+E718</f>
        <v>7217195.4702633573</v>
      </c>
      <c r="I718" s="786">
        <f>+J705*G718+E718</f>
        <v>7217195.4702633573</v>
      </c>
      <c r="J718" s="783">
        <f t="shared" si="69"/>
        <v>0</v>
      </c>
      <c r="K718" s="783"/>
      <c r="L718" s="1304"/>
      <c r="M718" s="783">
        <f t="shared" si="63"/>
        <v>0</v>
      </c>
      <c r="N718" s="1304"/>
      <c r="O718" s="783">
        <f t="shared" si="64"/>
        <v>0</v>
      </c>
      <c r="P718" s="783">
        <f t="shared" si="65"/>
        <v>0</v>
      </c>
    </row>
    <row r="719" spans="2:16">
      <c r="C719" s="779">
        <f>IF(D703="","-",+C718+1)</f>
        <v>2026</v>
      </c>
      <c r="D719" s="727">
        <f t="shared" si="66"/>
        <v>46857004.649999991</v>
      </c>
      <c r="E719" s="780">
        <f t="shared" si="68"/>
        <v>1735444.6166666665</v>
      </c>
      <c r="F719" s="780">
        <f t="shared" si="62"/>
        <v>45121560.033333324</v>
      </c>
      <c r="G719" s="727">
        <f t="shared" si="67"/>
        <v>45989282.341666654</v>
      </c>
      <c r="H719" s="785">
        <f>+J704*G719+E719</f>
        <v>7017859.0755871134</v>
      </c>
      <c r="I719" s="786">
        <f>+J705*G719+E719</f>
        <v>7017859.0755871134</v>
      </c>
      <c r="J719" s="783">
        <f t="shared" si="69"/>
        <v>0</v>
      </c>
      <c r="K719" s="783"/>
      <c r="L719" s="1304"/>
      <c r="M719" s="783">
        <f t="shared" si="63"/>
        <v>0</v>
      </c>
      <c r="N719" s="1304"/>
      <c r="O719" s="783">
        <f t="shared" si="64"/>
        <v>0</v>
      </c>
      <c r="P719" s="783">
        <f t="shared" si="65"/>
        <v>0</v>
      </c>
    </row>
    <row r="720" spans="2:16">
      <c r="C720" s="779">
        <f>IF(D703="","-",+C719+1)</f>
        <v>2027</v>
      </c>
      <c r="D720" s="727">
        <f t="shared" si="66"/>
        <v>45121560.033333324</v>
      </c>
      <c r="E720" s="780">
        <f t="shared" si="68"/>
        <v>1735444.6166666665</v>
      </c>
      <c r="F720" s="780">
        <f t="shared" si="62"/>
        <v>43386115.416666657</v>
      </c>
      <c r="G720" s="727">
        <f t="shared" si="67"/>
        <v>44253837.724999994</v>
      </c>
      <c r="H720" s="785">
        <f>+J704*G720+E720</f>
        <v>6818522.6809108704</v>
      </c>
      <c r="I720" s="786">
        <f>+J705*G720+E720</f>
        <v>6818522.6809108704</v>
      </c>
      <c r="J720" s="783">
        <f t="shared" si="69"/>
        <v>0</v>
      </c>
      <c r="K720" s="783"/>
      <c r="L720" s="1304"/>
      <c r="M720" s="783">
        <f t="shared" si="63"/>
        <v>0</v>
      </c>
      <c r="N720" s="1304"/>
      <c r="O720" s="783">
        <f t="shared" si="64"/>
        <v>0</v>
      </c>
      <c r="P720" s="783">
        <f t="shared" si="65"/>
        <v>0</v>
      </c>
    </row>
    <row r="721" spans="3:16">
      <c r="C721" s="779">
        <f>IF(D703="","-",+C720+1)</f>
        <v>2028</v>
      </c>
      <c r="D721" s="727">
        <f t="shared" si="66"/>
        <v>43386115.416666657</v>
      </c>
      <c r="E721" s="780">
        <f t="shared" si="68"/>
        <v>1735444.6166666665</v>
      </c>
      <c r="F721" s="780">
        <f t="shared" si="62"/>
        <v>41650670.79999999</v>
      </c>
      <c r="G721" s="727">
        <f t="shared" si="67"/>
        <v>42518393.108333319</v>
      </c>
      <c r="H721" s="785">
        <f>+J704*G721+E721</f>
        <v>6619186.2862346265</v>
      </c>
      <c r="I721" s="786">
        <f>+J705*G721+E721</f>
        <v>6619186.2862346265</v>
      </c>
      <c r="J721" s="783">
        <f t="shared" si="69"/>
        <v>0</v>
      </c>
      <c r="K721" s="783"/>
      <c r="L721" s="1304"/>
      <c r="M721" s="783">
        <f t="shared" si="63"/>
        <v>0</v>
      </c>
      <c r="N721" s="1304"/>
      <c r="O721" s="783">
        <f t="shared" si="64"/>
        <v>0</v>
      </c>
      <c r="P721" s="783">
        <f t="shared" si="65"/>
        <v>0</v>
      </c>
    </row>
    <row r="722" spans="3:16">
      <c r="C722" s="779">
        <f>IF(D703="","-",+C721+1)</f>
        <v>2029</v>
      </c>
      <c r="D722" s="727">
        <f t="shared" si="66"/>
        <v>41650670.79999999</v>
      </c>
      <c r="E722" s="780">
        <f t="shared" si="68"/>
        <v>1735444.6166666665</v>
      </c>
      <c r="F722" s="780">
        <f t="shared" si="62"/>
        <v>39915226.183333322</v>
      </c>
      <c r="G722" s="727">
        <f t="shared" si="67"/>
        <v>40782948.49166666</v>
      </c>
      <c r="H722" s="785">
        <f>+J704*G722+E722</f>
        <v>6419849.8915583836</v>
      </c>
      <c r="I722" s="786">
        <f>+J705*G722+E722</f>
        <v>6419849.8915583836</v>
      </c>
      <c r="J722" s="783">
        <f t="shared" si="69"/>
        <v>0</v>
      </c>
      <c r="K722" s="783"/>
      <c r="L722" s="1304"/>
      <c r="M722" s="783">
        <f t="shared" si="63"/>
        <v>0</v>
      </c>
      <c r="N722" s="1304"/>
      <c r="O722" s="783">
        <f t="shared" si="64"/>
        <v>0</v>
      </c>
      <c r="P722" s="783">
        <f t="shared" si="65"/>
        <v>0</v>
      </c>
    </row>
    <row r="723" spans="3:16">
      <c r="C723" s="779">
        <f>IF(D703="","-",+C722+1)</f>
        <v>2030</v>
      </c>
      <c r="D723" s="727">
        <f t="shared" si="66"/>
        <v>39915226.183333322</v>
      </c>
      <c r="E723" s="780">
        <f t="shared" si="68"/>
        <v>1735444.6166666665</v>
      </c>
      <c r="F723" s="780">
        <f t="shared" si="62"/>
        <v>38179781.566666655</v>
      </c>
      <c r="G723" s="727">
        <f t="shared" si="67"/>
        <v>39047503.874999985</v>
      </c>
      <c r="H723" s="785">
        <f>+J704*G723+E723</f>
        <v>6220513.4968821397</v>
      </c>
      <c r="I723" s="786">
        <f>+J705*G723+E723</f>
        <v>6220513.4968821397</v>
      </c>
      <c r="J723" s="783">
        <f t="shared" si="69"/>
        <v>0</v>
      </c>
      <c r="K723" s="783"/>
      <c r="L723" s="1304"/>
      <c r="M723" s="783">
        <f t="shared" si="63"/>
        <v>0</v>
      </c>
      <c r="N723" s="1304"/>
      <c r="O723" s="783">
        <f t="shared" si="64"/>
        <v>0</v>
      </c>
      <c r="P723" s="783">
        <f t="shared" si="65"/>
        <v>0</v>
      </c>
    </row>
    <row r="724" spans="3:16">
      <c r="C724" s="779">
        <f>IF(D703="","-",+C723+1)</f>
        <v>2031</v>
      </c>
      <c r="D724" s="727">
        <f t="shared" si="66"/>
        <v>38179781.566666655</v>
      </c>
      <c r="E724" s="780">
        <f t="shared" si="68"/>
        <v>1735444.6166666665</v>
      </c>
      <c r="F724" s="780">
        <f t="shared" si="62"/>
        <v>36444336.949999988</v>
      </c>
      <c r="G724" s="727">
        <f t="shared" si="67"/>
        <v>37312059.258333325</v>
      </c>
      <c r="H724" s="785">
        <f>+J704*G724+E724</f>
        <v>6021177.1022058968</v>
      </c>
      <c r="I724" s="786">
        <f>+J705*G724+E724</f>
        <v>6021177.1022058968</v>
      </c>
      <c r="J724" s="783">
        <f t="shared" si="69"/>
        <v>0</v>
      </c>
      <c r="K724" s="783"/>
      <c r="L724" s="1304"/>
      <c r="M724" s="783">
        <f t="shared" si="63"/>
        <v>0</v>
      </c>
      <c r="N724" s="1304"/>
      <c r="O724" s="783">
        <f t="shared" si="64"/>
        <v>0</v>
      </c>
      <c r="P724" s="783">
        <f t="shared" si="65"/>
        <v>0</v>
      </c>
    </row>
    <row r="725" spans="3:16">
      <c r="C725" s="779">
        <f>IF(D703="","-",+C724+1)</f>
        <v>2032</v>
      </c>
      <c r="D725" s="727">
        <f t="shared" si="66"/>
        <v>36444336.949999988</v>
      </c>
      <c r="E725" s="780">
        <f t="shared" si="68"/>
        <v>1735444.6166666665</v>
      </c>
      <c r="F725" s="780">
        <f t="shared" si="62"/>
        <v>34708892.333333321</v>
      </c>
      <c r="G725" s="727">
        <f t="shared" si="67"/>
        <v>35576614.641666651</v>
      </c>
      <c r="H725" s="785">
        <f>+J704*G725+E725</f>
        <v>5821840.7075296529</v>
      </c>
      <c r="I725" s="786">
        <f>+J705*G725+E725</f>
        <v>5821840.7075296529</v>
      </c>
      <c r="J725" s="783">
        <f t="shared" si="69"/>
        <v>0</v>
      </c>
      <c r="K725" s="783"/>
      <c r="L725" s="1304"/>
      <c r="M725" s="783">
        <f t="shared" si="63"/>
        <v>0</v>
      </c>
      <c r="N725" s="1304"/>
      <c r="O725" s="783">
        <f t="shared" si="64"/>
        <v>0</v>
      </c>
      <c r="P725" s="783">
        <f t="shared" si="65"/>
        <v>0</v>
      </c>
    </row>
    <row r="726" spans="3:16">
      <c r="C726" s="779">
        <f>IF(D703="","-",+C725+1)</f>
        <v>2033</v>
      </c>
      <c r="D726" s="727">
        <f t="shared" si="66"/>
        <v>34708892.333333321</v>
      </c>
      <c r="E726" s="780">
        <f t="shared" si="68"/>
        <v>1735444.6166666665</v>
      </c>
      <c r="F726" s="780">
        <f t="shared" si="62"/>
        <v>32973447.716666654</v>
      </c>
      <c r="G726" s="727">
        <f t="shared" si="67"/>
        <v>33841170.024999991</v>
      </c>
      <c r="H726" s="785">
        <f>+J704*G726+E726</f>
        <v>5622504.3128534108</v>
      </c>
      <c r="I726" s="786">
        <f>+J705*G726+E726</f>
        <v>5622504.3128534108</v>
      </c>
      <c r="J726" s="783">
        <f t="shared" si="69"/>
        <v>0</v>
      </c>
      <c r="K726" s="783"/>
      <c r="L726" s="1304"/>
      <c r="M726" s="783">
        <f t="shared" si="63"/>
        <v>0</v>
      </c>
      <c r="N726" s="1304"/>
      <c r="O726" s="783">
        <f t="shared" si="64"/>
        <v>0</v>
      </c>
      <c r="P726" s="783">
        <f t="shared" si="65"/>
        <v>0</v>
      </c>
    </row>
    <row r="727" spans="3:16">
      <c r="C727" s="779">
        <f>IF(D703="","-",+C726+1)</f>
        <v>2034</v>
      </c>
      <c r="D727" s="727">
        <f t="shared" si="66"/>
        <v>32973447.716666654</v>
      </c>
      <c r="E727" s="780">
        <f t="shared" si="68"/>
        <v>1735444.6166666665</v>
      </c>
      <c r="F727" s="780">
        <f t="shared" si="62"/>
        <v>31238003.099999987</v>
      </c>
      <c r="G727" s="727">
        <f t="shared" si="67"/>
        <v>32105725.40833332</v>
      </c>
      <c r="H727" s="785">
        <f>+J704*G727+E727</f>
        <v>5423167.918177167</v>
      </c>
      <c r="I727" s="786">
        <f>+J705*G727+E727</f>
        <v>5423167.918177167</v>
      </c>
      <c r="J727" s="783">
        <f t="shared" si="69"/>
        <v>0</v>
      </c>
      <c r="K727" s="783"/>
      <c r="L727" s="1304"/>
      <c r="M727" s="783">
        <f t="shared" si="63"/>
        <v>0</v>
      </c>
      <c r="N727" s="1304"/>
      <c r="O727" s="783">
        <f t="shared" si="64"/>
        <v>0</v>
      </c>
      <c r="P727" s="783">
        <f t="shared" si="65"/>
        <v>0</v>
      </c>
    </row>
    <row r="728" spans="3:16">
      <c r="C728" s="779">
        <f>IF(D703="","-",+C727+1)</f>
        <v>2035</v>
      </c>
      <c r="D728" s="727">
        <f t="shared" si="66"/>
        <v>31238003.099999987</v>
      </c>
      <c r="E728" s="780">
        <f t="shared" si="68"/>
        <v>1735444.6166666665</v>
      </c>
      <c r="F728" s="780">
        <f t="shared" si="62"/>
        <v>29502558.483333319</v>
      </c>
      <c r="G728" s="727">
        <f t="shared" si="67"/>
        <v>30370280.791666653</v>
      </c>
      <c r="H728" s="785">
        <f>+J704*G728+E728</f>
        <v>5223831.5235009231</v>
      </c>
      <c r="I728" s="786">
        <f>+J705*G728+E728</f>
        <v>5223831.5235009231</v>
      </c>
      <c r="J728" s="783">
        <f t="shared" si="69"/>
        <v>0</v>
      </c>
      <c r="K728" s="783"/>
      <c r="L728" s="1304"/>
      <c r="M728" s="783">
        <f t="shared" si="63"/>
        <v>0</v>
      </c>
      <c r="N728" s="1304"/>
      <c r="O728" s="783">
        <f t="shared" si="64"/>
        <v>0</v>
      </c>
      <c r="P728" s="783">
        <f t="shared" si="65"/>
        <v>0</v>
      </c>
    </row>
    <row r="729" spans="3:16">
      <c r="C729" s="779">
        <f>IF(D703="","-",+C728+1)</f>
        <v>2036</v>
      </c>
      <c r="D729" s="727">
        <f t="shared" si="66"/>
        <v>29502558.483333319</v>
      </c>
      <c r="E729" s="780">
        <f t="shared" si="68"/>
        <v>1735444.6166666665</v>
      </c>
      <c r="F729" s="780">
        <f t="shared" si="62"/>
        <v>27767113.866666652</v>
      </c>
      <c r="G729" s="727">
        <f t="shared" si="67"/>
        <v>28634836.174999986</v>
      </c>
      <c r="H729" s="785">
        <f>+J704*G729+E729</f>
        <v>5024495.1288246801</v>
      </c>
      <c r="I729" s="786">
        <f>+J705*G729+E729</f>
        <v>5024495.1288246801</v>
      </c>
      <c r="J729" s="783">
        <f t="shared" si="69"/>
        <v>0</v>
      </c>
      <c r="K729" s="783"/>
      <c r="L729" s="1304"/>
      <c r="M729" s="783">
        <f t="shared" si="63"/>
        <v>0</v>
      </c>
      <c r="N729" s="1304"/>
      <c r="O729" s="783">
        <f t="shared" si="64"/>
        <v>0</v>
      </c>
      <c r="P729" s="783">
        <f t="shared" si="65"/>
        <v>0</v>
      </c>
    </row>
    <row r="730" spans="3:16">
      <c r="C730" s="779">
        <f>IF(D703="","-",+C729+1)</f>
        <v>2037</v>
      </c>
      <c r="D730" s="727">
        <f t="shared" si="66"/>
        <v>27767113.866666652</v>
      </c>
      <c r="E730" s="780">
        <f t="shared" si="68"/>
        <v>1735444.6166666665</v>
      </c>
      <c r="F730" s="780">
        <f t="shared" si="62"/>
        <v>26031669.249999985</v>
      </c>
      <c r="G730" s="727">
        <f t="shared" si="67"/>
        <v>26899391.558333319</v>
      </c>
      <c r="H730" s="785">
        <f>+J704*G730+E730</f>
        <v>4825158.7341484362</v>
      </c>
      <c r="I730" s="786">
        <f>+J705*G730+E730</f>
        <v>4825158.7341484362</v>
      </c>
      <c r="J730" s="783">
        <f t="shared" si="69"/>
        <v>0</v>
      </c>
      <c r="K730" s="783"/>
      <c r="L730" s="1304"/>
      <c r="M730" s="783">
        <f t="shared" si="63"/>
        <v>0</v>
      </c>
      <c r="N730" s="1304"/>
      <c r="O730" s="783">
        <f t="shared" si="64"/>
        <v>0</v>
      </c>
      <c r="P730" s="783">
        <f t="shared" si="65"/>
        <v>0</v>
      </c>
    </row>
    <row r="731" spans="3:16">
      <c r="C731" s="779">
        <f>IF(D703="","-",+C730+1)</f>
        <v>2038</v>
      </c>
      <c r="D731" s="727">
        <f t="shared" si="66"/>
        <v>26031669.249999985</v>
      </c>
      <c r="E731" s="780">
        <f t="shared" si="68"/>
        <v>1735444.6166666665</v>
      </c>
      <c r="F731" s="780">
        <f t="shared" si="62"/>
        <v>24296224.633333318</v>
      </c>
      <c r="G731" s="727">
        <f t="shared" si="67"/>
        <v>25163946.941666652</v>
      </c>
      <c r="H731" s="785">
        <f>+J704*G731+E731</f>
        <v>4625822.3394721933</v>
      </c>
      <c r="I731" s="786">
        <f>+J705*G731+E731</f>
        <v>4625822.3394721933</v>
      </c>
      <c r="J731" s="783">
        <f t="shared" si="69"/>
        <v>0</v>
      </c>
      <c r="K731" s="783"/>
      <c r="L731" s="1304"/>
      <c r="M731" s="783">
        <f t="shared" si="63"/>
        <v>0</v>
      </c>
      <c r="N731" s="1304"/>
      <c r="O731" s="783">
        <f t="shared" si="64"/>
        <v>0</v>
      </c>
      <c r="P731" s="783">
        <f t="shared" si="65"/>
        <v>0</v>
      </c>
    </row>
    <row r="732" spans="3:16">
      <c r="C732" s="779">
        <f>IF(D703="","-",+C731+1)</f>
        <v>2039</v>
      </c>
      <c r="D732" s="727">
        <f t="shared" si="66"/>
        <v>24296224.633333318</v>
      </c>
      <c r="E732" s="780">
        <f t="shared" si="68"/>
        <v>1735444.6166666665</v>
      </c>
      <c r="F732" s="780">
        <f t="shared" si="62"/>
        <v>22560780.016666651</v>
      </c>
      <c r="G732" s="727">
        <f t="shared" si="67"/>
        <v>23428502.324999984</v>
      </c>
      <c r="H732" s="785">
        <f>+J704*G732+E732</f>
        <v>4426485.9447959494</v>
      </c>
      <c r="I732" s="786">
        <f>+J705*G732+E732</f>
        <v>4426485.9447959494</v>
      </c>
      <c r="J732" s="783">
        <f t="shared" si="69"/>
        <v>0</v>
      </c>
      <c r="K732" s="783"/>
      <c r="L732" s="1304"/>
      <c r="M732" s="783">
        <f t="shared" si="63"/>
        <v>0</v>
      </c>
      <c r="N732" s="1304"/>
      <c r="O732" s="783">
        <f t="shared" si="64"/>
        <v>0</v>
      </c>
      <c r="P732" s="783">
        <f t="shared" si="65"/>
        <v>0</v>
      </c>
    </row>
    <row r="733" spans="3:16">
      <c r="C733" s="779">
        <f>IF(D703="","-",+C732+1)</f>
        <v>2040</v>
      </c>
      <c r="D733" s="727">
        <f t="shared" si="66"/>
        <v>22560780.016666651</v>
      </c>
      <c r="E733" s="780">
        <f t="shared" si="68"/>
        <v>1735444.6166666665</v>
      </c>
      <c r="F733" s="780">
        <f t="shared" si="62"/>
        <v>20825335.399999984</v>
      </c>
      <c r="G733" s="727">
        <f t="shared" si="67"/>
        <v>21693057.708333317</v>
      </c>
      <c r="H733" s="785">
        <f>+J704*G733+E733</f>
        <v>4227149.5501197064</v>
      </c>
      <c r="I733" s="786">
        <f>+J705*G733+E733</f>
        <v>4227149.5501197064</v>
      </c>
      <c r="J733" s="783">
        <f t="shared" si="69"/>
        <v>0</v>
      </c>
      <c r="K733" s="783"/>
      <c r="L733" s="1304"/>
      <c r="M733" s="783">
        <f t="shared" si="63"/>
        <v>0</v>
      </c>
      <c r="N733" s="1304"/>
      <c r="O733" s="783">
        <f t="shared" si="64"/>
        <v>0</v>
      </c>
      <c r="P733" s="783">
        <f t="shared" si="65"/>
        <v>0</v>
      </c>
    </row>
    <row r="734" spans="3:16">
      <c r="C734" s="779">
        <f>IF(D703="","-",+C733+1)</f>
        <v>2041</v>
      </c>
      <c r="D734" s="727">
        <f t="shared" si="66"/>
        <v>20825335.399999984</v>
      </c>
      <c r="E734" s="780">
        <f t="shared" si="68"/>
        <v>1735444.6166666665</v>
      </c>
      <c r="F734" s="780">
        <f t="shared" si="62"/>
        <v>19089890.783333316</v>
      </c>
      <c r="G734" s="727">
        <f t="shared" si="67"/>
        <v>19957613.09166665</v>
      </c>
      <c r="H734" s="785">
        <f>+J704*G734+E734</f>
        <v>4027813.1554434625</v>
      </c>
      <c r="I734" s="786">
        <f>+J705*G734+E734</f>
        <v>4027813.1554434625</v>
      </c>
      <c r="J734" s="783">
        <f t="shared" si="69"/>
        <v>0</v>
      </c>
      <c r="K734" s="783"/>
      <c r="L734" s="1304"/>
      <c r="M734" s="783">
        <f t="shared" si="63"/>
        <v>0</v>
      </c>
      <c r="N734" s="1304"/>
      <c r="O734" s="783">
        <f t="shared" si="64"/>
        <v>0</v>
      </c>
      <c r="P734" s="783">
        <f t="shared" si="65"/>
        <v>0</v>
      </c>
    </row>
    <row r="735" spans="3:16">
      <c r="C735" s="779">
        <f>IF(D703="","-",+C734+1)</f>
        <v>2042</v>
      </c>
      <c r="D735" s="727">
        <f t="shared" si="66"/>
        <v>19089890.783333316</v>
      </c>
      <c r="E735" s="780">
        <f t="shared" si="68"/>
        <v>1735444.6166666665</v>
      </c>
      <c r="F735" s="780">
        <f t="shared" si="62"/>
        <v>17354446.166666649</v>
      </c>
      <c r="G735" s="727">
        <f t="shared" si="67"/>
        <v>18222168.474999983</v>
      </c>
      <c r="H735" s="785">
        <f>+J704*G735+E735</f>
        <v>3828476.7607672196</v>
      </c>
      <c r="I735" s="786">
        <f>+J705*G735+E735</f>
        <v>3828476.7607672196</v>
      </c>
      <c r="J735" s="783">
        <f t="shared" si="69"/>
        <v>0</v>
      </c>
      <c r="K735" s="783"/>
      <c r="L735" s="1304"/>
      <c r="M735" s="783">
        <f t="shared" si="63"/>
        <v>0</v>
      </c>
      <c r="N735" s="1304"/>
      <c r="O735" s="783">
        <f t="shared" si="64"/>
        <v>0</v>
      </c>
      <c r="P735" s="783">
        <f t="shared" si="65"/>
        <v>0</v>
      </c>
    </row>
    <row r="736" spans="3:16">
      <c r="C736" s="779">
        <f>IF(D703="","-",+C735+1)</f>
        <v>2043</v>
      </c>
      <c r="D736" s="727">
        <f t="shared" si="66"/>
        <v>17354446.166666649</v>
      </c>
      <c r="E736" s="780">
        <f t="shared" si="68"/>
        <v>1735444.6166666665</v>
      </c>
      <c r="F736" s="780">
        <f t="shared" si="62"/>
        <v>15619001.549999982</v>
      </c>
      <c r="G736" s="727">
        <f t="shared" si="67"/>
        <v>16486723.858333316</v>
      </c>
      <c r="H736" s="785">
        <f>+J704*G736+E736</f>
        <v>3629140.3660909762</v>
      </c>
      <c r="I736" s="786">
        <f>+J705*G736+E736</f>
        <v>3629140.3660909762</v>
      </c>
      <c r="J736" s="783">
        <f t="shared" si="69"/>
        <v>0</v>
      </c>
      <c r="K736" s="783"/>
      <c r="L736" s="1304"/>
      <c r="M736" s="783">
        <f t="shared" si="63"/>
        <v>0</v>
      </c>
      <c r="N736" s="1304"/>
      <c r="O736" s="783">
        <f t="shared" si="64"/>
        <v>0</v>
      </c>
      <c r="P736" s="783">
        <f t="shared" si="65"/>
        <v>0</v>
      </c>
    </row>
    <row r="737" spans="3:16">
      <c r="C737" s="779">
        <f>IF(D703="","-",+C736+1)</f>
        <v>2044</v>
      </c>
      <c r="D737" s="727">
        <f t="shared" si="66"/>
        <v>15619001.549999982</v>
      </c>
      <c r="E737" s="780">
        <f t="shared" si="68"/>
        <v>1735444.6166666665</v>
      </c>
      <c r="F737" s="780">
        <f t="shared" si="62"/>
        <v>13883556.933333315</v>
      </c>
      <c r="G737" s="727">
        <f t="shared" si="67"/>
        <v>14751279.241666649</v>
      </c>
      <c r="H737" s="785">
        <f>+J704*G737+E737</f>
        <v>3429803.9714147327</v>
      </c>
      <c r="I737" s="786">
        <f>+J705*G737+E737</f>
        <v>3429803.9714147327</v>
      </c>
      <c r="J737" s="783">
        <f t="shared" si="69"/>
        <v>0</v>
      </c>
      <c r="K737" s="783"/>
      <c r="L737" s="1304"/>
      <c r="M737" s="783">
        <f t="shared" si="63"/>
        <v>0</v>
      </c>
      <c r="N737" s="1304"/>
      <c r="O737" s="783">
        <f t="shared" si="64"/>
        <v>0</v>
      </c>
      <c r="P737" s="783">
        <f t="shared" si="65"/>
        <v>0</v>
      </c>
    </row>
    <row r="738" spans="3:16">
      <c r="C738" s="779">
        <f>IF(D703="","-",+C737+1)</f>
        <v>2045</v>
      </c>
      <c r="D738" s="727">
        <f t="shared" si="66"/>
        <v>13883556.933333315</v>
      </c>
      <c r="E738" s="780">
        <f t="shared" si="68"/>
        <v>1735444.6166666665</v>
      </c>
      <c r="F738" s="780">
        <f t="shared" si="62"/>
        <v>12148112.316666648</v>
      </c>
      <c r="G738" s="727">
        <f t="shared" si="67"/>
        <v>13015834.624999981</v>
      </c>
      <c r="H738" s="785">
        <f>+J704*G738+E738</f>
        <v>3230467.5767384893</v>
      </c>
      <c r="I738" s="786">
        <f>+J705*G738+E738</f>
        <v>3230467.5767384893</v>
      </c>
      <c r="J738" s="783">
        <f t="shared" si="69"/>
        <v>0</v>
      </c>
      <c r="K738" s="783"/>
      <c r="L738" s="1304"/>
      <c r="M738" s="783">
        <f t="shared" si="63"/>
        <v>0</v>
      </c>
      <c r="N738" s="1304"/>
      <c r="O738" s="783">
        <f t="shared" si="64"/>
        <v>0</v>
      </c>
      <c r="P738" s="783">
        <f t="shared" si="65"/>
        <v>0</v>
      </c>
    </row>
    <row r="739" spans="3:16">
      <c r="C739" s="779">
        <f>IF(D703="","-",+C738+1)</f>
        <v>2046</v>
      </c>
      <c r="D739" s="727">
        <f t="shared" si="66"/>
        <v>12148112.316666648</v>
      </c>
      <c r="E739" s="780">
        <f t="shared" si="68"/>
        <v>1735444.6166666665</v>
      </c>
      <c r="F739" s="780">
        <f t="shared" si="62"/>
        <v>10412667.699999981</v>
      </c>
      <c r="G739" s="727">
        <f t="shared" si="67"/>
        <v>11280390.008333314</v>
      </c>
      <c r="H739" s="785">
        <f>+J704*G739+E739</f>
        <v>3031131.1820622459</v>
      </c>
      <c r="I739" s="786">
        <f>+J705*G739+E739</f>
        <v>3031131.1820622459</v>
      </c>
      <c r="J739" s="783">
        <f t="shared" si="69"/>
        <v>0</v>
      </c>
      <c r="K739" s="783"/>
      <c r="L739" s="1304"/>
      <c r="M739" s="783">
        <f t="shared" si="63"/>
        <v>0</v>
      </c>
      <c r="N739" s="1304"/>
      <c r="O739" s="783">
        <f t="shared" si="64"/>
        <v>0</v>
      </c>
      <c r="P739" s="783">
        <f t="shared" si="65"/>
        <v>0</v>
      </c>
    </row>
    <row r="740" spans="3:16">
      <c r="C740" s="779">
        <f>IF(D703="","-",+C739+1)</f>
        <v>2047</v>
      </c>
      <c r="D740" s="727">
        <f t="shared" si="66"/>
        <v>10412667.699999981</v>
      </c>
      <c r="E740" s="780">
        <f t="shared" si="68"/>
        <v>1735444.6166666665</v>
      </c>
      <c r="F740" s="780">
        <f t="shared" si="62"/>
        <v>8677223.0833333135</v>
      </c>
      <c r="G740" s="727">
        <f t="shared" si="67"/>
        <v>9544945.391666647</v>
      </c>
      <c r="H740" s="785">
        <f>+J704*G740+E740</f>
        <v>2831794.7873860025</v>
      </c>
      <c r="I740" s="786">
        <f>+J705*G740+E740</f>
        <v>2831794.7873860025</v>
      </c>
      <c r="J740" s="783">
        <f t="shared" si="69"/>
        <v>0</v>
      </c>
      <c r="K740" s="783"/>
      <c r="L740" s="1304"/>
      <c r="M740" s="783">
        <f t="shared" si="63"/>
        <v>0</v>
      </c>
      <c r="N740" s="1304"/>
      <c r="O740" s="783">
        <f t="shared" si="64"/>
        <v>0</v>
      </c>
      <c r="P740" s="783">
        <f t="shared" si="65"/>
        <v>0</v>
      </c>
    </row>
    <row r="741" spans="3:16">
      <c r="C741" s="779">
        <f>IF(D703="","-",+C740+1)</f>
        <v>2048</v>
      </c>
      <c r="D741" s="727">
        <f t="shared" si="66"/>
        <v>8677223.0833333135</v>
      </c>
      <c r="E741" s="780">
        <f t="shared" si="68"/>
        <v>1735444.6166666665</v>
      </c>
      <c r="F741" s="780">
        <f t="shared" si="62"/>
        <v>6941778.4666666472</v>
      </c>
      <c r="G741" s="727">
        <f t="shared" si="67"/>
        <v>7809500.7749999799</v>
      </c>
      <c r="H741" s="785">
        <f>+J704*G741+E741</f>
        <v>2632458.3927097591</v>
      </c>
      <c r="I741" s="786">
        <f>+J705*G741+E741</f>
        <v>2632458.3927097591</v>
      </c>
      <c r="J741" s="783">
        <f t="shared" si="69"/>
        <v>0</v>
      </c>
      <c r="K741" s="783"/>
      <c r="L741" s="1304"/>
      <c r="M741" s="783">
        <f t="shared" si="63"/>
        <v>0</v>
      </c>
      <c r="N741" s="1304"/>
      <c r="O741" s="783">
        <f t="shared" si="64"/>
        <v>0</v>
      </c>
      <c r="P741" s="783">
        <f t="shared" si="65"/>
        <v>0</v>
      </c>
    </row>
    <row r="742" spans="3:16">
      <c r="C742" s="779">
        <f>IF(D703="","-",+C741+1)</f>
        <v>2049</v>
      </c>
      <c r="D742" s="727">
        <f t="shared" si="66"/>
        <v>6941778.4666666472</v>
      </c>
      <c r="E742" s="780">
        <f t="shared" si="68"/>
        <v>1735444.6166666665</v>
      </c>
      <c r="F742" s="780">
        <f t="shared" si="62"/>
        <v>5206333.849999981</v>
      </c>
      <c r="G742" s="727">
        <f t="shared" si="67"/>
        <v>6074056.1583333146</v>
      </c>
      <c r="H742" s="785">
        <f>+J704*G742+E742</f>
        <v>2433121.9980335161</v>
      </c>
      <c r="I742" s="786">
        <f>+J705*G742+E742</f>
        <v>2433121.9980335161</v>
      </c>
      <c r="J742" s="783">
        <f t="shared" si="69"/>
        <v>0</v>
      </c>
      <c r="K742" s="783"/>
      <c r="L742" s="1304"/>
      <c r="M742" s="783">
        <f t="shared" si="63"/>
        <v>0</v>
      </c>
      <c r="N742" s="1304"/>
      <c r="O742" s="783">
        <f t="shared" si="64"/>
        <v>0</v>
      </c>
      <c r="P742" s="783">
        <f t="shared" si="65"/>
        <v>0</v>
      </c>
    </row>
    <row r="743" spans="3:16">
      <c r="C743" s="779">
        <f>IF(D703="","-",+C742+1)</f>
        <v>2050</v>
      </c>
      <c r="D743" s="727">
        <f t="shared" si="66"/>
        <v>5206333.849999981</v>
      </c>
      <c r="E743" s="780">
        <f t="shared" si="68"/>
        <v>1735444.6166666665</v>
      </c>
      <c r="F743" s="780">
        <f t="shared" si="62"/>
        <v>3470889.2333333148</v>
      </c>
      <c r="G743" s="727">
        <f t="shared" si="67"/>
        <v>4338611.5416666474</v>
      </c>
      <c r="H743" s="785">
        <f>+J704*G743+E743</f>
        <v>2233785.6033572727</v>
      </c>
      <c r="I743" s="786">
        <f>+J705*G743+E743</f>
        <v>2233785.6033572727</v>
      </c>
      <c r="J743" s="783">
        <f t="shared" si="69"/>
        <v>0</v>
      </c>
      <c r="K743" s="783"/>
      <c r="L743" s="1304"/>
      <c r="M743" s="783">
        <f t="shared" si="63"/>
        <v>0</v>
      </c>
      <c r="N743" s="1304"/>
      <c r="O743" s="783">
        <f t="shared" si="64"/>
        <v>0</v>
      </c>
      <c r="P743" s="783">
        <f t="shared" si="65"/>
        <v>0</v>
      </c>
    </row>
    <row r="744" spans="3:16">
      <c r="C744" s="779">
        <f>IF(D703="","-",+C743+1)</f>
        <v>2051</v>
      </c>
      <c r="D744" s="727">
        <f t="shared" si="66"/>
        <v>3470889.2333333148</v>
      </c>
      <c r="E744" s="780">
        <f t="shared" si="68"/>
        <v>1735444.6166666665</v>
      </c>
      <c r="F744" s="780">
        <f t="shared" si="62"/>
        <v>1735444.6166666483</v>
      </c>
      <c r="G744" s="727">
        <f t="shared" si="67"/>
        <v>2603166.9249999817</v>
      </c>
      <c r="H744" s="785">
        <f>+J704*G744+E744</f>
        <v>2034449.2086810293</v>
      </c>
      <c r="I744" s="786">
        <f>+J705*G744+E744</f>
        <v>2034449.2086810293</v>
      </c>
      <c r="J744" s="783">
        <f t="shared" si="69"/>
        <v>0</v>
      </c>
      <c r="K744" s="783"/>
      <c r="L744" s="1304"/>
      <c r="M744" s="783">
        <f t="shared" si="63"/>
        <v>0</v>
      </c>
      <c r="N744" s="1304"/>
      <c r="O744" s="783">
        <f t="shared" si="64"/>
        <v>0</v>
      </c>
      <c r="P744" s="783">
        <f t="shared" si="65"/>
        <v>0</v>
      </c>
    </row>
    <row r="745" spans="3:16">
      <c r="C745" s="779">
        <f>IF(D703="","-",+C744+1)</f>
        <v>2052</v>
      </c>
      <c r="D745" s="727">
        <f t="shared" si="66"/>
        <v>1735444.6166666483</v>
      </c>
      <c r="E745" s="780">
        <f t="shared" si="68"/>
        <v>1735444.6166666483</v>
      </c>
      <c r="F745" s="780">
        <f t="shared" si="62"/>
        <v>0</v>
      </c>
      <c r="G745" s="727">
        <f t="shared" si="67"/>
        <v>867722.30833332415</v>
      </c>
      <c r="H745" s="785">
        <f>+J704*G745+E745</f>
        <v>1835112.8140047689</v>
      </c>
      <c r="I745" s="786">
        <f>+J705*G745+E745</f>
        <v>1835112.8140047689</v>
      </c>
      <c r="J745" s="783">
        <f t="shared" si="69"/>
        <v>0</v>
      </c>
      <c r="K745" s="783"/>
      <c r="L745" s="1304"/>
      <c r="M745" s="783">
        <f t="shared" si="63"/>
        <v>0</v>
      </c>
      <c r="N745" s="1304"/>
      <c r="O745" s="783">
        <f t="shared" si="64"/>
        <v>0</v>
      </c>
      <c r="P745" s="783">
        <f t="shared" si="65"/>
        <v>0</v>
      </c>
    </row>
    <row r="746" spans="3:16">
      <c r="C746" s="779">
        <f>IF(D703="","-",+C745+1)</f>
        <v>2053</v>
      </c>
      <c r="D746" s="727">
        <f t="shared" si="66"/>
        <v>0</v>
      </c>
      <c r="E746" s="780">
        <f t="shared" si="68"/>
        <v>0</v>
      </c>
      <c r="F746" s="780">
        <f t="shared" si="62"/>
        <v>0</v>
      </c>
      <c r="G746" s="727">
        <f t="shared" si="67"/>
        <v>0</v>
      </c>
      <c r="H746" s="785">
        <f>+J704*G746+E746</f>
        <v>0</v>
      </c>
      <c r="I746" s="786">
        <f>+J705*G746+E746</f>
        <v>0</v>
      </c>
      <c r="J746" s="783">
        <f t="shared" si="69"/>
        <v>0</v>
      </c>
      <c r="K746" s="783"/>
      <c r="L746" s="1304"/>
      <c r="M746" s="783">
        <f t="shared" si="63"/>
        <v>0</v>
      </c>
      <c r="N746" s="1304"/>
      <c r="O746" s="783">
        <f t="shared" si="64"/>
        <v>0</v>
      </c>
      <c r="P746" s="783">
        <f t="shared" si="65"/>
        <v>0</v>
      </c>
    </row>
    <row r="747" spans="3:16">
      <c r="C747" s="779">
        <f>IF(D703="","-",+C746+1)</f>
        <v>2054</v>
      </c>
      <c r="D747" s="727">
        <f t="shared" si="66"/>
        <v>0</v>
      </c>
      <c r="E747" s="780">
        <f t="shared" si="68"/>
        <v>0</v>
      </c>
      <c r="F747" s="780">
        <f t="shared" si="62"/>
        <v>0</v>
      </c>
      <c r="G747" s="727">
        <f t="shared" si="67"/>
        <v>0</v>
      </c>
      <c r="H747" s="785">
        <f>+J704*G747+E747</f>
        <v>0</v>
      </c>
      <c r="I747" s="786">
        <f>+J705*G747+E747</f>
        <v>0</v>
      </c>
      <c r="J747" s="783">
        <f t="shared" si="69"/>
        <v>0</v>
      </c>
      <c r="K747" s="783"/>
      <c r="L747" s="1304"/>
      <c r="M747" s="783">
        <f t="shared" si="63"/>
        <v>0</v>
      </c>
      <c r="N747" s="1304"/>
      <c r="O747" s="783">
        <f t="shared" si="64"/>
        <v>0</v>
      </c>
      <c r="P747" s="783">
        <f t="shared" si="65"/>
        <v>0</v>
      </c>
    </row>
    <row r="748" spans="3:16">
      <c r="C748" s="779">
        <f>IF(D703="","-",+C747+1)</f>
        <v>2055</v>
      </c>
      <c r="D748" s="727">
        <f t="shared" si="66"/>
        <v>0</v>
      </c>
      <c r="E748" s="780">
        <f t="shared" si="68"/>
        <v>0</v>
      </c>
      <c r="F748" s="780">
        <f t="shared" si="62"/>
        <v>0</v>
      </c>
      <c r="G748" s="727">
        <f t="shared" si="67"/>
        <v>0</v>
      </c>
      <c r="H748" s="785">
        <f>+J704*G748+E748</f>
        <v>0</v>
      </c>
      <c r="I748" s="786">
        <f>+J705*G748+E748</f>
        <v>0</v>
      </c>
      <c r="J748" s="783">
        <f t="shared" si="69"/>
        <v>0</v>
      </c>
      <c r="K748" s="783"/>
      <c r="L748" s="1304"/>
      <c r="M748" s="783">
        <f t="shared" si="63"/>
        <v>0</v>
      </c>
      <c r="N748" s="1304"/>
      <c r="O748" s="783">
        <f t="shared" si="64"/>
        <v>0</v>
      </c>
      <c r="P748" s="783">
        <f t="shared" si="65"/>
        <v>0</v>
      </c>
    </row>
    <row r="749" spans="3:16">
      <c r="C749" s="779">
        <f>IF(D703="","-",+C748+1)</f>
        <v>2056</v>
      </c>
      <c r="D749" s="727">
        <f t="shared" si="66"/>
        <v>0</v>
      </c>
      <c r="E749" s="780">
        <f t="shared" si="68"/>
        <v>0</v>
      </c>
      <c r="F749" s="780">
        <f t="shared" si="62"/>
        <v>0</v>
      </c>
      <c r="G749" s="727">
        <f t="shared" si="67"/>
        <v>0</v>
      </c>
      <c r="H749" s="785">
        <f>+J704*G749+E749</f>
        <v>0</v>
      </c>
      <c r="I749" s="786">
        <f>+J705*G749+E749</f>
        <v>0</v>
      </c>
      <c r="J749" s="783">
        <f t="shared" si="69"/>
        <v>0</v>
      </c>
      <c r="K749" s="783"/>
      <c r="L749" s="1304"/>
      <c r="M749" s="783">
        <f t="shared" si="63"/>
        <v>0</v>
      </c>
      <c r="N749" s="1304"/>
      <c r="O749" s="783">
        <f t="shared" si="64"/>
        <v>0</v>
      </c>
      <c r="P749" s="783">
        <f t="shared" si="65"/>
        <v>0</v>
      </c>
    </row>
    <row r="750" spans="3:16">
      <c r="C750" s="779">
        <f>IF(D703="","-",+C749+1)</f>
        <v>2057</v>
      </c>
      <c r="D750" s="727">
        <f t="shared" si="66"/>
        <v>0</v>
      </c>
      <c r="E750" s="780">
        <f t="shared" si="68"/>
        <v>0</v>
      </c>
      <c r="F750" s="780">
        <f t="shared" si="62"/>
        <v>0</v>
      </c>
      <c r="G750" s="727">
        <f t="shared" si="67"/>
        <v>0</v>
      </c>
      <c r="H750" s="785">
        <f>+J704*G750+E750</f>
        <v>0</v>
      </c>
      <c r="I750" s="786">
        <f>+J705*G750+E750</f>
        <v>0</v>
      </c>
      <c r="J750" s="783">
        <f t="shared" si="69"/>
        <v>0</v>
      </c>
      <c r="K750" s="783"/>
      <c r="L750" s="1304"/>
      <c r="M750" s="783">
        <f t="shared" si="63"/>
        <v>0</v>
      </c>
      <c r="N750" s="1304"/>
      <c r="O750" s="783">
        <f t="shared" si="64"/>
        <v>0</v>
      </c>
      <c r="P750" s="783">
        <f t="shared" si="65"/>
        <v>0</v>
      </c>
    </row>
    <row r="751" spans="3:16">
      <c r="C751" s="779">
        <f>IF(D703="","-",+C750+1)</f>
        <v>2058</v>
      </c>
      <c r="D751" s="727">
        <f t="shared" si="66"/>
        <v>0</v>
      </c>
      <c r="E751" s="780">
        <f t="shared" si="68"/>
        <v>0</v>
      </c>
      <c r="F751" s="780">
        <f t="shared" si="62"/>
        <v>0</v>
      </c>
      <c r="G751" s="727">
        <f t="shared" si="67"/>
        <v>0</v>
      </c>
      <c r="H751" s="785">
        <f>+J704*G751+E751</f>
        <v>0</v>
      </c>
      <c r="I751" s="786">
        <f>+J705*G751+E751</f>
        <v>0</v>
      </c>
      <c r="J751" s="783">
        <f t="shared" si="69"/>
        <v>0</v>
      </c>
      <c r="K751" s="783"/>
      <c r="L751" s="1304"/>
      <c r="M751" s="783">
        <f t="shared" si="63"/>
        <v>0</v>
      </c>
      <c r="N751" s="1304"/>
      <c r="O751" s="783">
        <f t="shared" si="64"/>
        <v>0</v>
      </c>
      <c r="P751" s="783">
        <f t="shared" si="65"/>
        <v>0</v>
      </c>
    </row>
    <row r="752" spans="3:16">
      <c r="C752" s="779">
        <f>IF(D703="","-",+C751+1)</f>
        <v>2059</v>
      </c>
      <c r="D752" s="727">
        <f t="shared" si="66"/>
        <v>0</v>
      </c>
      <c r="E752" s="780">
        <f t="shared" si="68"/>
        <v>0</v>
      </c>
      <c r="F752" s="780">
        <f t="shared" si="62"/>
        <v>0</v>
      </c>
      <c r="G752" s="727">
        <f t="shared" si="67"/>
        <v>0</v>
      </c>
      <c r="H752" s="785">
        <f>+J704*G752+E752</f>
        <v>0</v>
      </c>
      <c r="I752" s="786">
        <f>+J705*G752+E752</f>
        <v>0</v>
      </c>
      <c r="J752" s="783">
        <f t="shared" si="69"/>
        <v>0</v>
      </c>
      <c r="K752" s="783"/>
      <c r="L752" s="1304"/>
      <c r="M752" s="783">
        <f t="shared" si="63"/>
        <v>0</v>
      </c>
      <c r="N752" s="1304"/>
      <c r="O752" s="783">
        <f t="shared" si="64"/>
        <v>0</v>
      </c>
      <c r="P752" s="783">
        <f t="shared" si="65"/>
        <v>0</v>
      </c>
    </row>
    <row r="753" spans="3:16">
      <c r="C753" s="779">
        <f>IF(D703="","-",+C752+1)</f>
        <v>2060</v>
      </c>
      <c r="D753" s="727">
        <f t="shared" si="66"/>
        <v>0</v>
      </c>
      <c r="E753" s="780">
        <f t="shared" si="68"/>
        <v>0</v>
      </c>
      <c r="F753" s="780">
        <f t="shared" si="62"/>
        <v>0</v>
      </c>
      <c r="G753" s="727">
        <f t="shared" si="67"/>
        <v>0</v>
      </c>
      <c r="H753" s="785">
        <f>+J704*G753+E753</f>
        <v>0</v>
      </c>
      <c r="I753" s="786">
        <f>+J705*G753+E753</f>
        <v>0</v>
      </c>
      <c r="J753" s="783">
        <f t="shared" si="69"/>
        <v>0</v>
      </c>
      <c r="K753" s="783"/>
      <c r="L753" s="1304"/>
      <c r="M753" s="783">
        <f t="shared" si="63"/>
        <v>0</v>
      </c>
      <c r="N753" s="1304"/>
      <c r="O753" s="783">
        <f t="shared" si="64"/>
        <v>0</v>
      </c>
      <c r="P753" s="783">
        <f t="shared" si="65"/>
        <v>0</v>
      </c>
    </row>
    <row r="754" spans="3:16">
      <c r="C754" s="779">
        <f>IF(D703="","-",+C753+1)</f>
        <v>2061</v>
      </c>
      <c r="D754" s="727">
        <f t="shared" si="66"/>
        <v>0</v>
      </c>
      <c r="E754" s="780">
        <f t="shared" si="68"/>
        <v>0</v>
      </c>
      <c r="F754" s="780">
        <f t="shared" si="62"/>
        <v>0</v>
      </c>
      <c r="G754" s="727">
        <f t="shared" si="67"/>
        <v>0</v>
      </c>
      <c r="H754" s="785">
        <f>+J704*G754+E754</f>
        <v>0</v>
      </c>
      <c r="I754" s="786">
        <f>+J705*G754+E754</f>
        <v>0</v>
      </c>
      <c r="J754" s="783">
        <f t="shared" si="69"/>
        <v>0</v>
      </c>
      <c r="K754" s="783"/>
      <c r="L754" s="1304"/>
      <c r="M754" s="783">
        <f t="shared" si="63"/>
        <v>0</v>
      </c>
      <c r="N754" s="1304"/>
      <c r="O754" s="783">
        <f t="shared" si="64"/>
        <v>0</v>
      </c>
      <c r="P754" s="783">
        <f t="shared" si="65"/>
        <v>0</v>
      </c>
    </row>
    <row r="755" spans="3:16">
      <c r="C755" s="779">
        <f>IF(D703="","-",+C754+1)</f>
        <v>2062</v>
      </c>
      <c r="D755" s="727">
        <f t="shared" si="66"/>
        <v>0</v>
      </c>
      <c r="E755" s="780">
        <f t="shared" si="68"/>
        <v>0</v>
      </c>
      <c r="F755" s="780">
        <f t="shared" si="62"/>
        <v>0</v>
      </c>
      <c r="G755" s="727">
        <f t="shared" si="67"/>
        <v>0</v>
      </c>
      <c r="H755" s="785">
        <f>+J704*G755+E755</f>
        <v>0</v>
      </c>
      <c r="I755" s="786">
        <f>+J705*G755+E755</f>
        <v>0</v>
      </c>
      <c r="J755" s="783">
        <f t="shared" si="69"/>
        <v>0</v>
      </c>
      <c r="K755" s="783"/>
      <c r="L755" s="1304"/>
      <c r="M755" s="783">
        <f t="shared" si="63"/>
        <v>0</v>
      </c>
      <c r="N755" s="1304"/>
      <c r="O755" s="783">
        <f t="shared" si="64"/>
        <v>0</v>
      </c>
      <c r="P755" s="783">
        <f t="shared" si="65"/>
        <v>0</v>
      </c>
    </row>
    <row r="756" spans="3:16">
      <c r="C756" s="779">
        <f>IF(D703="","-",+C755+1)</f>
        <v>2063</v>
      </c>
      <c r="D756" s="727">
        <f t="shared" si="66"/>
        <v>0</v>
      </c>
      <c r="E756" s="780">
        <f t="shared" si="68"/>
        <v>0</v>
      </c>
      <c r="F756" s="780">
        <f t="shared" si="62"/>
        <v>0</v>
      </c>
      <c r="G756" s="727">
        <f t="shared" si="67"/>
        <v>0</v>
      </c>
      <c r="H756" s="785">
        <f>+J704*G756+E756</f>
        <v>0</v>
      </c>
      <c r="I756" s="786">
        <f>+J705*G756+E756</f>
        <v>0</v>
      </c>
      <c r="J756" s="783">
        <f t="shared" si="69"/>
        <v>0</v>
      </c>
      <c r="K756" s="783"/>
      <c r="L756" s="1304"/>
      <c r="M756" s="783">
        <f t="shared" si="63"/>
        <v>0</v>
      </c>
      <c r="N756" s="1304"/>
      <c r="O756" s="783">
        <f t="shared" si="64"/>
        <v>0</v>
      </c>
      <c r="P756" s="783">
        <f t="shared" si="65"/>
        <v>0</v>
      </c>
    </row>
    <row r="757" spans="3:16">
      <c r="C757" s="779">
        <f>IF(D703="","-",+C756+1)</f>
        <v>2064</v>
      </c>
      <c r="D757" s="727">
        <f t="shared" si="66"/>
        <v>0</v>
      </c>
      <c r="E757" s="780">
        <f t="shared" si="68"/>
        <v>0</v>
      </c>
      <c r="F757" s="780">
        <f t="shared" si="62"/>
        <v>0</v>
      </c>
      <c r="G757" s="727">
        <f t="shared" si="67"/>
        <v>0</v>
      </c>
      <c r="H757" s="785">
        <f>+J704*G757+E757</f>
        <v>0</v>
      </c>
      <c r="I757" s="786">
        <f>+J705*G757+E757</f>
        <v>0</v>
      </c>
      <c r="J757" s="783">
        <f t="shared" si="69"/>
        <v>0</v>
      </c>
      <c r="K757" s="783"/>
      <c r="L757" s="1304"/>
      <c r="M757" s="783">
        <f t="shared" si="63"/>
        <v>0</v>
      </c>
      <c r="N757" s="1304"/>
      <c r="O757" s="783">
        <f t="shared" si="64"/>
        <v>0</v>
      </c>
      <c r="P757" s="783">
        <f t="shared" si="65"/>
        <v>0</v>
      </c>
    </row>
    <row r="758" spans="3:16">
      <c r="C758" s="779">
        <f>IF(D703="","-",+C757+1)</f>
        <v>2065</v>
      </c>
      <c r="D758" s="727">
        <f t="shared" si="66"/>
        <v>0</v>
      </c>
      <c r="E758" s="780">
        <f t="shared" si="68"/>
        <v>0</v>
      </c>
      <c r="F758" s="780">
        <f t="shared" si="62"/>
        <v>0</v>
      </c>
      <c r="G758" s="727">
        <f t="shared" si="67"/>
        <v>0</v>
      </c>
      <c r="H758" s="785">
        <f>+J704*G758+E758</f>
        <v>0</v>
      </c>
      <c r="I758" s="786">
        <f>+J705*G758+E758</f>
        <v>0</v>
      </c>
      <c r="J758" s="783">
        <f t="shared" si="69"/>
        <v>0</v>
      </c>
      <c r="K758" s="783"/>
      <c r="L758" s="1304"/>
      <c r="M758" s="783">
        <f t="shared" si="63"/>
        <v>0</v>
      </c>
      <c r="N758" s="1304"/>
      <c r="O758" s="783">
        <f t="shared" si="64"/>
        <v>0</v>
      </c>
      <c r="P758" s="783">
        <f t="shared" si="65"/>
        <v>0</v>
      </c>
    </row>
    <row r="759" spans="3:16">
      <c r="C759" s="779">
        <f>IF(D703="","-",+C758+1)</f>
        <v>2066</v>
      </c>
      <c r="D759" s="727">
        <f t="shared" si="66"/>
        <v>0</v>
      </c>
      <c r="E759" s="780">
        <f t="shared" si="68"/>
        <v>0</v>
      </c>
      <c r="F759" s="780">
        <f t="shared" si="62"/>
        <v>0</v>
      </c>
      <c r="G759" s="727">
        <f t="shared" si="67"/>
        <v>0</v>
      </c>
      <c r="H759" s="785">
        <f>+J704*G759+E759</f>
        <v>0</v>
      </c>
      <c r="I759" s="786">
        <f>+J705*G759+E759</f>
        <v>0</v>
      </c>
      <c r="J759" s="783">
        <f t="shared" si="69"/>
        <v>0</v>
      </c>
      <c r="K759" s="783"/>
      <c r="L759" s="1304"/>
      <c r="M759" s="783">
        <f t="shared" si="63"/>
        <v>0</v>
      </c>
      <c r="N759" s="1304"/>
      <c r="O759" s="783">
        <f t="shared" si="64"/>
        <v>0</v>
      </c>
      <c r="P759" s="783">
        <f t="shared" si="65"/>
        <v>0</v>
      </c>
    </row>
    <row r="760" spans="3:16">
      <c r="C760" s="779">
        <f>IF(D703="","-",+C759+1)</f>
        <v>2067</v>
      </c>
      <c r="D760" s="727">
        <f t="shared" si="66"/>
        <v>0</v>
      </c>
      <c r="E760" s="780">
        <f t="shared" si="68"/>
        <v>0</v>
      </c>
      <c r="F760" s="780">
        <f t="shared" si="62"/>
        <v>0</v>
      </c>
      <c r="G760" s="727">
        <f t="shared" si="67"/>
        <v>0</v>
      </c>
      <c r="H760" s="785">
        <f>+J704*G760+E760</f>
        <v>0</v>
      </c>
      <c r="I760" s="786">
        <f>+J705*G760+E760</f>
        <v>0</v>
      </c>
      <c r="J760" s="783">
        <f t="shared" si="69"/>
        <v>0</v>
      </c>
      <c r="K760" s="783"/>
      <c r="L760" s="1304"/>
      <c r="M760" s="783">
        <f t="shared" si="63"/>
        <v>0</v>
      </c>
      <c r="N760" s="1304"/>
      <c r="O760" s="783">
        <f t="shared" si="64"/>
        <v>0</v>
      </c>
      <c r="P760" s="783">
        <f t="shared" si="65"/>
        <v>0</v>
      </c>
    </row>
    <row r="761" spans="3:16">
      <c r="C761" s="779">
        <f>IF(D703="","-",+C760+1)</f>
        <v>2068</v>
      </c>
      <c r="D761" s="727">
        <f t="shared" si="66"/>
        <v>0</v>
      </c>
      <c r="E761" s="780">
        <f t="shared" si="68"/>
        <v>0</v>
      </c>
      <c r="F761" s="780">
        <f t="shared" si="62"/>
        <v>0</v>
      </c>
      <c r="G761" s="727">
        <f t="shared" si="67"/>
        <v>0</v>
      </c>
      <c r="H761" s="785">
        <f>+J704*G761+E761</f>
        <v>0</v>
      </c>
      <c r="I761" s="786">
        <f>+J705*G761+E761</f>
        <v>0</v>
      </c>
      <c r="J761" s="783">
        <f t="shared" si="69"/>
        <v>0</v>
      </c>
      <c r="K761" s="783"/>
      <c r="L761" s="1304"/>
      <c r="M761" s="783">
        <f t="shared" si="63"/>
        <v>0</v>
      </c>
      <c r="N761" s="1304"/>
      <c r="O761" s="783">
        <f t="shared" si="64"/>
        <v>0</v>
      </c>
      <c r="P761" s="783">
        <f t="shared" si="65"/>
        <v>0</v>
      </c>
    </row>
    <row r="762" spans="3:16">
      <c r="C762" s="779">
        <f>IF(D703="","-",+C761+1)</f>
        <v>2069</v>
      </c>
      <c r="D762" s="727">
        <f t="shared" si="66"/>
        <v>0</v>
      </c>
      <c r="E762" s="780">
        <f t="shared" si="68"/>
        <v>0</v>
      </c>
      <c r="F762" s="780">
        <f t="shared" si="62"/>
        <v>0</v>
      </c>
      <c r="G762" s="727">
        <f t="shared" si="67"/>
        <v>0</v>
      </c>
      <c r="H762" s="785">
        <f>+J704*G762+E762</f>
        <v>0</v>
      </c>
      <c r="I762" s="786">
        <f>+J705*G762+E762</f>
        <v>0</v>
      </c>
      <c r="J762" s="783">
        <f t="shared" si="69"/>
        <v>0</v>
      </c>
      <c r="K762" s="783"/>
      <c r="L762" s="1304"/>
      <c r="M762" s="783">
        <f t="shared" si="63"/>
        <v>0</v>
      </c>
      <c r="N762" s="1304"/>
      <c r="O762" s="783">
        <f t="shared" si="64"/>
        <v>0</v>
      </c>
      <c r="P762" s="783">
        <f t="shared" si="65"/>
        <v>0</v>
      </c>
    </row>
    <row r="763" spans="3:16">
      <c r="C763" s="779">
        <f>IF(D703="","-",+C762+1)</f>
        <v>2070</v>
      </c>
      <c r="D763" s="727">
        <f t="shared" ref="D763:D768" si="70">F762</f>
        <v>0</v>
      </c>
      <c r="E763" s="780">
        <f t="shared" si="68"/>
        <v>0</v>
      </c>
      <c r="F763" s="780">
        <f t="shared" si="62"/>
        <v>0</v>
      </c>
      <c r="G763" s="727">
        <f t="shared" si="67"/>
        <v>0</v>
      </c>
      <c r="H763" s="785">
        <f>+J704*G763+E763</f>
        <v>0</v>
      </c>
      <c r="I763" s="786">
        <f>+J705*G763+E763</f>
        <v>0</v>
      </c>
      <c r="J763" s="783">
        <f t="shared" si="69"/>
        <v>0</v>
      </c>
      <c r="K763" s="783"/>
      <c r="L763" s="1304"/>
      <c r="M763" s="783">
        <f t="shared" si="63"/>
        <v>0</v>
      </c>
      <c r="N763" s="1304"/>
      <c r="O763" s="783">
        <f t="shared" si="64"/>
        <v>0</v>
      </c>
      <c r="P763" s="783">
        <f t="shared" si="65"/>
        <v>0</v>
      </c>
    </row>
    <row r="764" spans="3:16">
      <c r="C764" s="779">
        <f>IF(D703="","-",+C763+1)</f>
        <v>2071</v>
      </c>
      <c r="D764" s="727">
        <f t="shared" si="70"/>
        <v>0</v>
      </c>
      <c r="E764" s="780">
        <f t="shared" si="68"/>
        <v>0</v>
      </c>
      <c r="F764" s="780">
        <f t="shared" si="62"/>
        <v>0</v>
      </c>
      <c r="G764" s="727">
        <f t="shared" si="67"/>
        <v>0</v>
      </c>
      <c r="H764" s="785">
        <f>+J704*G764+E764</f>
        <v>0</v>
      </c>
      <c r="I764" s="786">
        <f>+J705*G764+E764</f>
        <v>0</v>
      </c>
      <c r="J764" s="783">
        <f t="shared" si="69"/>
        <v>0</v>
      </c>
      <c r="K764" s="783"/>
      <c r="L764" s="1304"/>
      <c r="M764" s="783">
        <f t="shared" si="63"/>
        <v>0</v>
      </c>
      <c r="N764" s="1304"/>
      <c r="O764" s="783">
        <f t="shared" si="64"/>
        <v>0</v>
      </c>
      <c r="P764" s="783">
        <f t="shared" si="65"/>
        <v>0</v>
      </c>
    </row>
    <row r="765" spans="3:16">
      <c r="C765" s="779">
        <f>IF(D703="","-",+C764+1)</f>
        <v>2072</v>
      </c>
      <c r="D765" s="727">
        <f t="shared" si="70"/>
        <v>0</v>
      </c>
      <c r="E765" s="780">
        <f t="shared" si="68"/>
        <v>0</v>
      </c>
      <c r="F765" s="780">
        <f t="shared" si="62"/>
        <v>0</v>
      </c>
      <c r="G765" s="727">
        <f t="shared" si="67"/>
        <v>0</v>
      </c>
      <c r="H765" s="785">
        <f>+J704*G765+E765</f>
        <v>0</v>
      </c>
      <c r="I765" s="786">
        <f>+J705*G765+E765</f>
        <v>0</v>
      </c>
      <c r="J765" s="783">
        <f t="shared" si="69"/>
        <v>0</v>
      </c>
      <c r="K765" s="783"/>
      <c r="L765" s="1304"/>
      <c r="M765" s="783">
        <f t="shared" si="63"/>
        <v>0</v>
      </c>
      <c r="N765" s="1304"/>
      <c r="O765" s="783">
        <f t="shared" si="64"/>
        <v>0</v>
      </c>
      <c r="P765" s="783">
        <f t="shared" si="65"/>
        <v>0</v>
      </c>
    </row>
    <row r="766" spans="3:16">
      <c r="C766" s="779">
        <f>IF(D703="","-",+C765+1)</f>
        <v>2073</v>
      </c>
      <c r="D766" s="727">
        <f t="shared" si="70"/>
        <v>0</v>
      </c>
      <c r="E766" s="780">
        <f t="shared" si="68"/>
        <v>0</v>
      </c>
      <c r="F766" s="780">
        <f t="shared" si="62"/>
        <v>0</v>
      </c>
      <c r="G766" s="727">
        <f t="shared" si="67"/>
        <v>0</v>
      </c>
      <c r="H766" s="785">
        <f>+J704*G766+E766</f>
        <v>0</v>
      </c>
      <c r="I766" s="786">
        <f>+J705*G766+E766</f>
        <v>0</v>
      </c>
      <c r="J766" s="783">
        <f t="shared" si="69"/>
        <v>0</v>
      </c>
      <c r="K766" s="783"/>
      <c r="L766" s="1304"/>
      <c r="M766" s="783">
        <f t="shared" si="63"/>
        <v>0</v>
      </c>
      <c r="N766" s="1304"/>
      <c r="O766" s="783">
        <f t="shared" si="64"/>
        <v>0</v>
      </c>
      <c r="P766" s="783">
        <f t="shared" si="65"/>
        <v>0</v>
      </c>
    </row>
    <row r="767" spans="3:16">
      <c r="C767" s="779">
        <f>IF(D703="","-",+C766+1)</f>
        <v>2074</v>
      </c>
      <c r="D767" s="727">
        <f t="shared" si="70"/>
        <v>0</v>
      </c>
      <c r="E767" s="780">
        <f t="shared" si="68"/>
        <v>0</v>
      </c>
      <c r="F767" s="780">
        <f t="shared" si="62"/>
        <v>0</v>
      </c>
      <c r="G767" s="727">
        <f t="shared" si="67"/>
        <v>0</v>
      </c>
      <c r="H767" s="785">
        <f>+J704*G767+E767</f>
        <v>0</v>
      </c>
      <c r="I767" s="786">
        <f>+J705*G767+E767</f>
        <v>0</v>
      </c>
      <c r="J767" s="783">
        <f t="shared" si="69"/>
        <v>0</v>
      </c>
      <c r="K767" s="783"/>
      <c r="L767" s="1304"/>
      <c r="M767" s="783">
        <f t="shared" si="63"/>
        <v>0</v>
      </c>
      <c r="N767" s="1304"/>
      <c r="O767" s="783">
        <f t="shared" si="64"/>
        <v>0</v>
      </c>
      <c r="P767" s="783">
        <f t="shared" si="65"/>
        <v>0</v>
      </c>
    </row>
    <row r="768" spans="3:16" ht="13.5" thickBot="1">
      <c r="C768" s="789">
        <f>IF(D703="","-",+C767+1)</f>
        <v>2075</v>
      </c>
      <c r="D768" s="790">
        <f t="shared" si="70"/>
        <v>0</v>
      </c>
      <c r="E768" s="791">
        <f t="shared" si="68"/>
        <v>0</v>
      </c>
      <c r="F768" s="791">
        <f t="shared" si="62"/>
        <v>0</v>
      </c>
      <c r="G768" s="790">
        <f t="shared" si="67"/>
        <v>0</v>
      </c>
      <c r="H768" s="792">
        <f>+J704*G768+E768</f>
        <v>0</v>
      </c>
      <c r="I768" s="792">
        <f>+J705*G768+E768</f>
        <v>0</v>
      </c>
      <c r="J768" s="793">
        <f t="shared" si="69"/>
        <v>0</v>
      </c>
      <c r="K768" s="783"/>
      <c r="L768" s="1305"/>
      <c r="M768" s="793">
        <f t="shared" si="63"/>
        <v>0</v>
      </c>
      <c r="N768" s="1305"/>
      <c r="O768" s="793">
        <f t="shared" si="64"/>
        <v>0</v>
      </c>
      <c r="P768" s="793">
        <f t="shared" si="65"/>
        <v>0</v>
      </c>
    </row>
    <row r="769" spans="1:17">
      <c r="C769" s="727" t="s">
        <v>93</v>
      </c>
      <c r="D769" s="721"/>
      <c r="E769" s="721">
        <f>SUM(E709:E768)</f>
        <v>62476006.199999988</v>
      </c>
      <c r="F769" s="721"/>
      <c r="G769" s="721"/>
      <c r="H769" s="721">
        <f>SUM(H709:H768)</f>
        <v>198822100.15855038</v>
      </c>
      <c r="I769" s="721">
        <f>SUM(I709:I768)</f>
        <v>198822100.15855038</v>
      </c>
      <c r="J769" s="721">
        <f>SUM(J709:J768)</f>
        <v>0</v>
      </c>
      <c r="K769" s="721"/>
      <c r="L769" s="721"/>
      <c r="M769" s="721"/>
      <c r="N769" s="721"/>
      <c r="O769" s="721"/>
    </row>
    <row r="770" spans="1:17">
      <c r="D770" s="529"/>
      <c r="E770" s="308"/>
      <c r="F770" s="308"/>
      <c r="G770" s="308"/>
      <c r="H770" s="308"/>
      <c r="I770" s="699"/>
      <c r="J770" s="699"/>
      <c r="K770" s="721"/>
      <c r="L770" s="699"/>
      <c r="M770" s="699"/>
      <c r="N770" s="699"/>
      <c r="O770" s="699"/>
    </row>
    <row r="771" spans="1:17">
      <c r="C771" s="308" t="s">
        <v>15</v>
      </c>
      <c r="D771" s="529"/>
      <c r="E771" s="308"/>
      <c r="F771" s="308"/>
      <c r="G771" s="308"/>
      <c r="H771" s="308"/>
      <c r="I771" s="699"/>
      <c r="J771" s="699"/>
      <c r="K771" s="721"/>
      <c r="L771" s="699"/>
      <c r="M771" s="699"/>
      <c r="N771" s="699"/>
      <c r="O771" s="699"/>
    </row>
    <row r="772" spans="1:17">
      <c r="C772" s="308"/>
      <c r="D772" s="529"/>
      <c r="E772" s="308"/>
      <c r="F772" s="308"/>
      <c r="G772" s="308"/>
      <c r="H772" s="308"/>
      <c r="I772" s="699"/>
      <c r="J772" s="699"/>
      <c r="K772" s="721"/>
      <c r="L772" s="699"/>
      <c r="M772" s="699"/>
      <c r="N772" s="699"/>
      <c r="O772" s="699"/>
    </row>
    <row r="773" spans="1:17">
      <c r="C773" s="740" t="s">
        <v>16</v>
      </c>
      <c r="D773" s="727"/>
      <c r="E773" s="727"/>
      <c r="F773" s="727"/>
      <c r="G773" s="727"/>
      <c r="H773" s="721"/>
      <c r="I773" s="721"/>
      <c r="J773" s="795"/>
      <c r="K773" s="795"/>
      <c r="L773" s="795"/>
      <c r="M773" s="795"/>
      <c r="N773" s="795"/>
      <c r="O773" s="795"/>
    </row>
    <row r="774" spans="1:17">
      <c r="C774" s="726" t="s">
        <v>273</v>
      </c>
      <c r="D774" s="727"/>
      <c r="E774" s="727"/>
      <c r="F774" s="727"/>
      <c r="G774" s="727"/>
      <c r="H774" s="721"/>
      <c r="I774" s="721"/>
      <c r="J774" s="795"/>
      <c r="K774" s="795"/>
      <c r="L774" s="795"/>
      <c r="M774" s="795"/>
      <c r="N774" s="795"/>
      <c r="O774" s="795"/>
    </row>
    <row r="775" spans="1:17">
      <c r="C775" s="726" t="s">
        <v>94</v>
      </c>
      <c r="D775" s="727"/>
      <c r="E775" s="727"/>
      <c r="F775" s="727"/>
      <c r="G775" s="727"/>
      <c r="H775" s="721"/>
      <c r="I775" s="721"/>
      <c r="J775" s="795"/>
      <c r="K775" s="795"/>
      <c r="L775" s="795"/>
      <c r="M775" s="795"/>
      <c r="N775" s="795"/>
      <c r="O775" s="795"/>
    </row>
    <row r="776" spans="1:17">
      <c r="C776" s="726"/>
      <c r="D776" s="727"/>
      <c r="E776" s="727"/>
      <c r="F776" s="727"/>
      <c r="G776" s="727"/>
      <c r="H776" s="721"/>
      <c r="I776" s="721"/>
      <c r="J776" s="795"/>
      <c r="K776" s="795"/>
      <c r="L776" s="795"/>
      <c r="M776" s="795"/>
      <c r="N776" s="795"/>
      <c r="O776" s="795"/>
    </row>
    <row r="777" spans="1:17" ht="20.25">
      <c r="A777" s="728" t="str">
        <f>""&amp;A697&amp;" Worksheet K -  ATRR TRUE-UP Calculation for PJM Projects Charged to Benefiting Zones"</f>
        <v xml:space="preserve"> Worksheet K -  ATRR TRUE-UP Calculation for PJM Projects Charged to Benefiting Zones</v>
      </c>
      <c r="B777" s="341"/>
      <c r="C777" s="716"/>
      <c r="D777" s="529"/>
      <c r="E777" s="308"/>
      <c r="F777" s="698"/>
      <c r="G777" s="698"/>
      <c r="H777" s="308"/>
      <c r="I777" s="699"/>
      <c r="L777" s="555"/>
      <c r="M777" s="555"/>
      <c r="N777" s="555"/>
      <c r="O777" s="644" t="str">
        <f>"Page "&amp;SUM(Q$8:Q777)&amp;" of "</f>
        <v xml:space="preserve">Page 9 of </v>
      </c>
      <c r="P777" s="645">
        <f>COUNT(Q$8:Q$56657)</f>
        <v>10</v>
      </c>
      <c r="Q777" s="172">
        <v>1</v>
      </c>
    </row>
    <row r="778" spans="1:17">
      <c r="B778" s="341"/>
      <c r="C778" s="308"/>
      <c r="D778" s="529"/>
      <c r="E778" s="308"/>
      <c r="F778" s="308"/>
      <c r="G778" s="308"/>
      <c r="H778" s="308"/>
      <c r="I778" s="699"/>
      <c r="J778" s="308"/>
      <c r="K778" s="418"/>
    </row>
    <row r="779" spans="1:17" ht="18">
      <c r="B779" s="648" t="s">
        <v>474</v>
      </c>
      <c r="C779" s="730" t="s">
        <v>95</v>
      </c>
      <c r="D779" s="529"/>
      <c r="E779" s="308"/>
      <c r="F779" s="308"/>
      <c r="G779" s="308"/>
      <c r="H779" s="308"/>
      <c r="I779" s="699"/>
      <c r="J779" s="699"/>
      <c r="K779" s="721"/>
      <c r="L779" s="699"/>
      <c r="M779" s="699"/>
      <c r="N779" s="699"/>
      <c r="O779" s="699"/>
    </row>
    <row r="780" spans="1:17" ht="18.75">
      <c r="B780" s="648"/>
      <c r="C780" s="647"/>
      <c r="D780" s="529"/>
      <c r="E780" s="308"/>
      <c r="F780" s="308"/>
      <c r="G780" s="308"/>
      <c r="H780" s="308"/>
      <c r="I780" s="699"/>
      <c r="J780" s="699"/>
      <c r="K780" s="721"/>
      <c r="L780" s="699"/>
      <c r="M780" s="699"/>
      <c r="N780" s="699"/>
      <c r="O780" s="699"/>
    </row>
    <row r="781" spans="1:17" ht="18.75">
      <c r="B781" s="648"/>
      <c r="C781" s="647" t="s">
        <v>96</v>
      </c>
      <c r="D781" s="529"/>
      <c r="E781" s="308"/>
      <c r="F781" s="308"/>
      <c r="G781" s="308"/>
      <c r="H781" s="308"/>
      <c r="I781" s="699"/>
      <c r="J781" s="699"/>
      <c r="K781" s="721"/>
      <c r="L781" s="699"/>
      <c r="M781" s="699"/>
      <c r="N781" s="699"/>
      <c r="O781" s="699"/>
    </row>
    <row r="782" spans="1:17" ht="15.75" thickBot="1">
      <c r="C782" s="239"/>
      <c r="D782" s="529"/>
      <c r="E782" s="308"/>
      <c r="F782" s="308"/>
      <c r="G782" s="308"/>
      <c r="H782" s="308"/>
      <c r="I782" s="699"/>
      <c r="J782" s="699"/>
      <c r="K782" s="721"/>
      <c r="L782" s="699"/>
      <c r="M782" s="699"/>
      <c r="N782" s="699"/>
      <c r="O782" s="699"/>
    </row>
    <row r="783" spans="1:17" ht="15.75">
      <c r="C783" s="650" t="s">
        <v>97</v>
      </c>
      <c r="D783" s="529"/>
      <c r="E783" s="308"/>
      <c r="F783" s="308"/>
      <c r="G783" s="308"/>
      <c r="H783" s="797"/>
      <c r="I783" s="308" t="s">
        <v>76</v>
      </c>
      <c r="J783" s="308"/>
      <c r="K783" s="418"/>
      <c r="L783" s="826">
        <f>+J789</f>
        <v>2022</v>
      </c>
      <c r="M783" s="807" t="s">
        <v>54</v>
      </c>
      <c r="N783" s="807" t="s">
        <v>55</v>
      </c>
      <c r="O783" s="808" t="s">
        <v>57</v>
      </c>
    </row>
    <row r="784" spans="1:17" ht="15.75">
      <c r="C784" s="650"/>
      <c r="D784" s="529"/>
      <c r="E784" s="308"/>
      <c r="F784" s="308"/>
      <c r="H784" s="308"/>
      <c r="I784" s="735"/>
      <c r="J784" s="735"/>
      <c r="K784" s="736"/>
      <c r="L784" s="827" t="s">
        <v>245</v>
      </c>
      <c r="M784" s="828">
        <f>VLOOKUP(J789,C796:P855,10)</f>
        <v>4088252.0620316346</v>
      </c>
      <c r="N784" s="828">
        <f>VLOOKUP(J789,C796:P855,12)</f>
        <v>4088252.0620316346</v>
      </c>
      <c r="O784" s="829">
        <f>+N784-M784</f>
        <v>0</v>
      </c>
    </row>
    <row r="785" spans="1:16" ht="12.95" customHeight="1">
      <c r="A785" s="1331"/>
      <c r="C785" s="740" t="s">
        <v>98</v>
      </c>
      <c r="D785" s="1553" t="s">
        <v>825</v>
      </c>
      <c r="E785" s="1553"/>
      <c r="F785" s="1553"/>
      <c r="G785" s="1553"/>
      <c r="H785" s="1553"/>
      <c r="I785" s="1553"/>
      <c r="J785" s="699"/>
      <c r="K785" s="721"/>
      <c r="L785" s="827" t="s">
        <v>246</v>
      </c>
      <c r="M785" s="830">
        <f>VLOOKUP(J789,C796:P855,6)</f>
        <v>4119619.3579975162</v>
      </c>
      <c r="N785" s="830">
        <f>VLOOKUP(J789,C796:P855,7)</f>
        <v>4119619.3579975162</v>
      </c>
      <c r="O785" s="831">
        <f>+N785-M785</f>
        <v>0</v>
      </c>
    </row>
    <row r="786" spans="1:16" ht="13.5" thickBot="1">
      <c r="C786" s="744"/>
      <c r="D786" s="1553"/>
      <c r="E786" s="1553"/>
      <c r="F786" s="1553"/>
      <c r="G786" s="1553"/>
      <c r="H786" s="1553"/>
      <c r="I786" s="1553"/>
      <c r="J786" s="699"/>
      <c r="K786" s="721"/>
      <c r="L786" s="763" t="s">
        <v>247</v>
      </c>
      <c r="M786" s="832">
        <f>+M785-M784</f>
        <v>31367.295965881553</v>
      </c>
      <c r="N786" s="832">
        <f>+N785-N784</f>
        <v>31367.295965881553</v>
      </c>
      <c r="O786" s="833">
        <f>+O785-O784</f>
        <v>0</v>
      </c>
    </row>
    <row r="787" spans="1:16" ht="13.5" thickBot="1">
      <c r="C787" s="747"/>
      <c r="D787" s="748"/>
      <c r="E787" s="746"/>
      <c r="F787" s="746"/>
      <c r="G787" s="746"/>
      <c r="H787" s="746"/>
      <c r="I787" s="746"/>
      <c r="J787" s="746"/>
      <c r="K787" s="749"/>
      <c r="L787" s="746"/>
      <c r="M787" s="746"/>
      <c r="N787" s="746"/>
      <c r="O787" s="746"/>
      <c r="P787" s="341"/>
    </row>
    <row r="788" spans="1:16" ht="13.5" thickBot="1">
      <c r="C788" s="750" t="s">
        <v>99</v>
      </c>
      <c r="D788" s="751"/>
      <c r="E788" s="751"/>
      <c r="F788" s="751"/>
      <c r="G788" s="751"/>
      <c r="H788" s="751"/>
      <c r="I788" s="751"/>
      <c r="J788" s="751"/>
      <c r="K788" s="753"/>
      <c r="P788" s="754"/>
    </row>
    <row r="789" spans="1:16" ht="15">
      <c r="C789" s="755" t="s">
        <v>77</v>
      </c>
      <c r="D789" s="799">
        <v>32382268.41</v>
      </c>
      <c r="E789" s="716" t="s">
        <v>78</v>
      </c>
      <c r="H789" s="756"/>
      <c r="I789" s="756"/>
      <c r="J789" s="757">
        <f>$J$93</f>
        <v>2022</v>
      </c>
      <c r="K789" s="545"/>
      <c r="L789" s="1554" t="s">
        <v>79</v>
      </c>
      <c r="M789" s="1554"/>
      <c r="N789" s="1554"/>
      <c r="O789" s="1554"/>
      <c r="P789" s="418"/>
    </row>
    <row r="790" spans="1:16">
      <c r="C790" s="755" t="s">
        <v>80</v>
      </c>
      <c r="D790" s="1301">
        <v>2017</v>
      </c>
      <c r="E790" s="755" t="s">
        <v>81</v>
      </c>
      <c r="F790" s="756"/>
      <c r="G790" s="756"/>
      <c r="I790" s="172"/>
      <c r="J790" s="801">
        <f>IF(H783="",0,$F$17)</f>
        <v>0</v>
      </c>
      <c r="K790" s="758"/>
      <c r="L790" s="721" t="s">
        <v>287</v>
      </c>
      <c r="P790" s="418"/>
    </row>
    <row r="791" spans="1:16">
      <c r="C791" s="755" t="s">
        <v>82</v>
      </c>
      <c r="D791" s="799">
        <v>8</v>
      </c>
      <c r="E791" s="755" t="s">
        <v>83</v>
      </c>
      <c r="F791" s="756"/>
      <c r="G791" s="756"/>
      <c r="I791" s="172"/>
      <c r="J791" s="759">
        <f>$F$70</f>
        <v>0.11486185889303469</v>
      </c>
      <c r="K791" s="760"/>
      <c r="L791" s="308" t="str">
        <f>"          INPUT TRUE-UP ARR (WITH &amp; WITHOUT INCENTIVES) FROM EACH PRIOR YEAR"</f>
        <v xml:space="preserve">          INPUT TRUE-UP ARR (WITH &amp; WITHOUT INCENTIVES) FROM EACH PRIOR YEAR</v>
      </c>
      <c r="P791" s="418"/>
    </row>
    <row r="792" spans="1:16">
      <c r="C792" s="755" t="s">
        <v>84</v>
      </c>
      <c r="D792" s="761">
        <f>H$79</f>
        <v>36</v>
      </c>
      <c r="E792" s="755" t="s">
        <v>85</v>
      </c>
      <c r="F792" s="756"/>
      <c r="G792" s="756"/>
      <c r="I792" s="172"/>
      <c r="J792" s="759">
        <f>IF(H783="",+J791,$F$69)</f>
        <v>0.11486185889303469</v>
      </c>
      <c r="K792" s="762"/>
      <c r="L792" s="308" t="s">
        <v>167</v>
      </c>
      <c r="M792" s="762"/>
      <c r="N792" s="762"/>
      <c r="O792" s="762"/>
      <c r="P792" s="418"/>
    </row>
    <row r="793" spans="1:16" ht="13.5" thickBot="1">
      <c r="C793" s="755" t="s">
        <v>86</v>
      </c>
      <c r="D793" s="1322" t="s">
        <v>814</v>
      </c>
      <c r="E793" s="763" t="s">
        <v>87</v>
      </c>
      <c r="F793" s="764"/>
      <c r="G793" s="764"/>
      <c r="H793" s="765"/>
      <c r="I793" s="765"/>
      <c r="J793" s="743">
        <f>IF(D789=0,0,D789/D792)</f>
        <v>899507.45583333331</v>
      </c>
      <c r="K793" s="721"/>
      <c r="L793" s="721" t="s">
        <v>168</v>
      </c>
      <c r="M793" s="721"/>
      <c r="N793" s="721"/>
      <c r="O793" s="721"/>
      <c r="P793" s="418"/>
    </row>
    <row r="794" spans="1:16" ht="38.25">
      <c r="B794" s="836"/>
      <c r="C794" s="766" t="s">
        <v>77</v>
      </c>
      <c r="D794" s="767" t="s">
        <v>88</v>
      </c>
      <c r="E794" s="768" t="s">
        <v>89</v>
      </c>
      <c r="F794" s="767" t="s">
        <v>90</v>
      </c>
      <c r="G794" s="767" t="s">
        <v>248</v>
      </c>
      <c r="H794" s="768" t="s">
        <v>161</v>
      </c>
      <c r="I794" s="769" t="s">
        <v>161</v>
      </c>
      <c r="J794" s="766" t="s">
        <v>100</v>
      </c>
      <c r="K794" s="770"/>
      <c r="L794" s="768" t="s">
        <v>163</v>
      </c>
      <c r="M794" s="768" t="s">
        <v>169</v>
      </c>
      <c r="N794" s="768" t="s">
        <v>163</v>
      </c>
      <c r="O794" s="768" t="s">
        <v>171</v>
      </c>
      <c r="P794" s="768" t="s">
        <v>91</v>
      </c>
    </row>
    <row r="795" spans="1:16" ht="13.5" thickBot="1">
      <c r="C795" s="772" t="s">
        <v>477</v>
      </c>
      <c r="D795" s="773" t="s">
        <v>478</v>
      </c>
      <c r="E795" s="772" t="s">
        <v>371</v>
      </c>
      <c r="F795" s="773" t="s">
        <v>478</v>
      </c>
      <c r="G795" s="773" t="s">
        <v>478</v>
      </c>
      <c r="H795" s="774" t="s">
        <v>103</v>
      </c>
      <c r="I795" s="775" t="s">
        <v>105</v>
      </c>
      <c r="J795" s="776" t="s">
        <v>17</v>
      </c>
      <c r="K795" s="777"/>
      <c r="L795" s="774" t="s">
        <v>92</v>
      </c>
      <c r="M795" s="774" t="s">
        <v>92</v>
      </c>
      <c r="N795" s="774" t="s">
        <v>265</v>
      </c>
      <c r="O795" s="774" t="s">
        <v>265</v>
      </c>
      <c r="P795" s="774" t="s">
        <v>265</v>
      </c>
    </row>
    <row r="796" spans="1:16">
      <c r="C796" s="779">
        <f>IF(D790= "","-",D790)</f>
        <v>2017</v>
      </c>
      <c r="D796" s="727">
        <f>+D789</f>
        <v>32382268.41</v>
      </c>
      <c r="E796" s="785">
        <f>+J793/12*(12-D791)</f>
        <v>299835.81861111108</v>
      </c>
      <c r="F796" s="834">
        <f t="shared" ref="F796:F855" si="71">+D796-E796</f>
        <v>32082432.591388889</v>
      </c>
      <c r="G796" s="727">
        <f t="shared" ref="G796:G855" si="72">+(D796+F796)/2</f>
        <v>32232350.500694446</v>
      </c>
      <c r="H796" s="781">
        <f>+J791*G796+E796</f>
        <v>4002103.5136127123</v>
      </c>
      <c r="I796" s="782">
        <f>+J792*G796+E796</f>
        <v>4002103.5136127123</v>
      </c>
      <c r="J796" s="783">
        <f t="shared" ref="J796:J855" si="73">+I796-H796</f>
        <v>0</v>
      </c>
      <c r="K796" s="783"/>
      <c r="L796" s="1303">
        <v>3283917</v>
      </c>
      <c r="M796" s="835">
        <f t="shared" ref="M796:M855" si="74">IF(L796&lt;&gt;0,+H796-L796,0)</f>
        <v>718186.51361271227</v>
      </c>
      <c r="N796" s="1303">
        <v>3283917</v>
      </c>
      <c r="O796" s="835">
        <f t="shared" ref="O796:O855" si="75">IF(N796&lt;&gt;0,+I796-N796,0)</f>
        <v>718186.51361271227</v>
      </c>
      <c r="P796" s="835">
        <f t="shared" ref="P796:P855" si="76">+O796-M796</f>
        <v>0</v>
      </c>
    </row>
    <row r="797" spans="1:16">
      <c r="C797" s="779">
        <f>IF(D790="","-",+C796+1)</f>
        <v>2018</v>
      </c>
      <c r="D797" s="1393">
        <f t="shared" ref="D797:D855" si="77">F796</f>
        <v>32082432.591388889</v>
      </c>
      <c r="E797" s="780">
        <f>IF(D797&gt;$J$793,$J$793,D797)</f>
        <v>899507.45583333331</v>
      </c>
      <c r="F797" s="780">
        <f t="shared" si="71"/>
        <v>31182925.135555554</v>
      </c>
      <c r="G797" s="727">
        <f t="shared" si="72"/>
        <v>31632678.863472223</v>
      </c>
      <c r="H797" s="785">
        <f>+J791*G797+E797</f>
        <v>4532895.7518581608</v>
      </c>
      <c r="I797" s="786">
        <f>+J792*G797+E797</f>
        <v>4532895.7518581608</v>
      </c>
      <c r="J797" s="783">
        <f t="shared" si="73"/>
        <v>0</v>
      </c>
      <c r="K797" s="783"/>
      <c r="L797" s="1304">
        <v>3670194</v>
      </c>
      <c r="M797" s="783">
        <f t="shared" si="74"/>
        <v>862701.75185816083</v>
      </c>
      <c r="N797" s="1304">
        <v>3670194</v>
      </c>
      <c r="O797" s="783">
        <f t="shared" si="75"/>
        <v>862701.75185816083</v>
      </c>
      <c r="P797" s="783">
        <f t="shared" si="76"/>
        <v>0</v>
      </c>
    </row>
    <row r="798" spans="1:16">
      <c r="C798" s="779">
        <f>IF(D790="","-",+C797+1)</f>
        <v>2019</v>
      </c>
      <c r="D798" s="1323">
        <f t="shared" si="77"/>
        <v>31182925.135555554</v>
      </c>
      <c r="E798" s="780">
        <f t="shared" ref="E798:E855" si="78">IF(D798&gt;$J$793,$J$793,D798)</f>
        <v>899507.45583333331</v>
      </c>
      <c r="F798" s="780">
        <f t="shared" si="71"/>
        <v>30283417.67972222</v>
      </c>
      <c r="G798" s="727">
        <f t="shared" si="72"/>
        <v>30733171.407638885</v>
      </c>
      <c r="H798" s="785">
        <f>+J791*G798+E798</f>
        <v>4429576.6533929994</v>
      </c>
      <c r="I798" s="786">
        <f>+J792*G798+E798</f>
        <v>4429576.6533929994</v>
      </c>
      <c r="J798" s="783">
        <f t="shared" si="73"/>
        <v>0</v>
      </c>
      <c r="K798" s="783"/>
      <c r="L798" s="1304">
        <v>3932147</v>
      </c>
      <c r="M798" s="783">
        <f t="shared" si="74"/>
        <v>497429.65339299943</v>
      </c>
      <c r="N798" s="1304">
        <v>3932147</v>
      </c>
      <c r="O798" s="783">
        <f t="shared" si="75"/>
        <v>497429.65339299943</v>
      </c>
      <c r="P798" s="783">
        <f t="shared" si="76"/>
        <v>0</v>
      </c>
    </row>
    <row r="799" spans="1:16">
      <c r="C799" s="779">
        <f>IF(D790="","-",+C798+1)</f>
        <v>2020</v>
      </c>
      <c r="D799" s="727">
        <f t="shared" si="77"/>
        <v>30283417.67972222</v>
      </c>
      <c r="E799" s="780">
        <f t="shared" si="78"/>
        <v>899507.45583333331</v>
      </c>
      <c r="F799" s="780">
        <f t="shared" si="71"/>
        <v>29383910.223888885</v>
      </c>
      <c r="G799" s="727">
        <f t="shared" si="72"/>
        <v>29833663.951805554</v>
      </c>
      <c r="H799" s="785">
        <f>+J791*G799+E799</f>
        <v>4326257.554927838</v>
      </c>
      <c r="I799" s="786">
        <f>+J792*G799+E799</f>
        <v>4326257.554927838</v>
      </c>
      <c r="J799" s="783">
        <f t="shared" si="73"/>
        <v>0</v>
      </c>
      <c r="K799" s="783"/>
      <c r="L799" s="1304">
        <v>4014940.5433018482</v>
      </c>
      <c r="M799" s="783">
        <f t="shared" si="74"/>
        <v>311317.01162598981</v>
      </c>
      <c r="N799" s="1304">
        <v>4014940.5433018482</v>
      </c>
      <c r="O799" s="783">
        <f t="shared" si="75"/>
        <v>311317.01162598981</v>
      </c>
      <c r="P799" s="783">
        <f t="shared" si="76"/>
        <v>0</v>
      </c>
    </row>
    <row r="800" spans="1:16">
      <c r="C800" s="779">
        <f>IF(D790="","-",+C799+1)</f>
        <v>2021</v>
      </c>
      <c r="D800" s="1323">
        <f t="shared" si="77"/>
        <v>29383910.223888885</v>
      </c>
      <c r="E800" s="780">
        <f t="shared" si="78"/>
        <v>899507.45583333331</v>
      </c>
      <c r="F800" s="780">
        <f t="shared" si="71"/>
        <v>28484402.768055551</v>
      </c>
      <c r="G800" s="727">
        <f t="shared" si="72"/>
        <v>28934156.495972216</v>
      </c>
      <c r="H800" s="785">
        <f>+J791*G800+E800</f>
        <v>4222938.4564626766</v>
      </c>
      <c r="I800" s="786">
        <f>+J792*G800+E800</f>
        <v>4222938.4564626766</v>
      </c>
      <c r="J800" s="783">
        <f t="shared" si="73"/>
        <v>0</v>
      </c>
      <c r="K800" s="783"/>
      <c r="L800" s="1304">
        <v>4001666.4118550606</v>
      </c>
      <c r="M800" s="783">
        <f t="shared" si="74"/>
        <v>221272.04460761603</v>
      </c>
      <c r="N800" s="1304">
        <v>4001666.4118550606</v>
      </c>
      <c r="O800" s="783">
        <f t="shared" si="75"/>
        <v>221272.04460761603</v>
      </c>
      <c r="P800" s="783">
        <f t="shared" si="76"/>
        <v>0</v>
      </c>
    </row>
    <row r="801" spans="3:16">
      <c r="C801" s="779">
        <f>IF(D790="","-",+C800+1)</f>
        <v>2022</v>
      </c>
      <c r="D801" s="1323">
        <f t="shared" si="77"/>
        <v>28484402.768055551</v>
      </c>
      <c r="E801" s="780">
        <f t="shared" si="78"/>
        <v>899507.45583333331</v>
      </c>
      <c r="F801" s="780">
        <f t="shared" si="71"/>
        <v>27584895.312222216</v>
      </c>
      <c r="G801" s="727">
        <f t="shared" si="72"/>
        <v>28034649.040138885</v>
      </c>
      <c r="H801" s="785">
        <f>+J791*G801+E801</f>
        <v>4119619.3579975162</v>
      </c>
      <c r="I801" s="786">
        <f>+J792*G801+E801</f>
        <v>4119619.3579975162</v>
      </c>
      <c r="J801" s="783">
        <f t="shared" si="73"/>
        <v>0</v>
      </c>
      <c r="K801" s="783"/>
      <c r="L801" s="1304">
        <v>4088252.0620316346</v>
      </c>
      <c r="M801" s="783">
        <f t="shared" si="74"/>
        <v>31367.295965881553</v>
      </c>
      <c r="N801" s="1304">
        <v>4088252.0620316346</v>
      </c>
      <c r="O801" s="783">
        <f t="shared" si="75"/>
        <v>31367.295965881553</v>
      </c>
      <c r="P801" s="783">
        <f t="shared" si="76"/>
        <v>0</v>
      </c>
    </row>
    <row r="802" spans="3:16">
      <c r="C802" s="779">
        <f>IF(D790="","-",+C801+1)</f>
        <v>2023</v>
      </c>
      <c r="D802" s="1323">
        <f t="shared" si="77"/>
        <v>27584895.312222216</v>
      </c>
      <c r="E802" s="780">
        <f t="shared" si="78"/>
        <v>899507.45583333331</v>
      </c>
      <c r="F802" s="780">
        <f t="shared" si="71"/>
        <v>26685387.856388882</v>
      </c>
      <c r="G802" s="727">
        <f t="shared" si="72"/>
        <v>27135141.584305547</v>
      </c>
      <c r="H802" s="785">
        <f>+J791*G802+E802</f>
        <v>4016300.2595323548</v>
      </c>
      <c r="I802" s="786">
        <f>+J792*G802+E802</f>
        <v>4016300.2595323548</v>
      </c>
      <c r="J802" s="783">
        <f t="shared" si="73"/>
        <v>0</v>
      </c>
      <c r="K802" s="783"/>
      <c r="L802" s="1304">
        <v>0</v>
      </c>
      <c r="M802" s="783">
        <f t="shared" si="74"/>
        <v>0</v>
      </c>
      <c r="N802" s="1304">
        <v>0</v>
      </c>
      <c r="O802" s="783">
        <f t="shared" si="75"/>
        <v>0</v>
      </c>
      <c r="P802" s="783">
        <f t="shared" si="76"/>
        <v>0</v>
      </c>
    </row>
    <row r="803" spans="3:16">
      <c r="C803" s="779">
        <f>IF(D790="","-",+C802+1)</f>
        <v>2024</v>
      </c>
      <c r="D803" s="727">
        <f t="shared" si="77"/>
        <v>26685387.856388882</v>
      </c>
      <c r="E803" s="780">
        <f t="shared" si="78"/>
        <v>899507.45583333331</v>
      </c>
      <c r="F803" s="780">
        <f t="shared" si="71"/>
        <v>25785880.400555547</v>
      </c>
      <c r="G803" s="727">
        <f t="shared" si="72"/>
        <v>26235634.128472216</v>
      </c>
      <c r="H803" s="785">
        <f>+J791*G803+E803</f>
        <v>3912981.1610671943</v>
      </c>
      <c r="I803" s="786">
        <f>+J792*G803+E803</f>
        <v>3912981.1610671943</v>
      </c>
      <c r="J803" s="783">
        <f t="shared" si="73"/>
        <v>0</v>
      </c>
      <c r="K803" s="783"/>
      <c r="L803" s="1304"/>
      <c r="M803" s="783">
        <f t="shared" si="74"/>
        <v>0</v>
      </c>
      <c r="N803" s="1304"/>
      <c r="O803" s="783">
        <f t="shared" si="75"/>
        <v>0</v>
      </c>
      <c r="P803" s="783">
        <f t="shared" si="76"/>
        <v>0</v>
      </c>
    </row>
    <row r="804" spans="3:16">
      <c r="C804" s="779">
        <f>IF(D790="","-",+C803+1)</f>
        <v>2025</v>
      </c>
      <c r="D804" s="727">
        <f t="shared" si="77"/>
        <v>25785880.400555547</v>
      </c>
      <c r="E804" s="780">
        <f t="shared" si="78"/>
        <v>899507.45583333331</v>
      </c>
      <c r="F804" s="780">
        <f t="shared" si="71"/>
        <v>24886372.944722213</v>
      </c>
      <c r="G804" s="727">
        <f t="shared" si="72"/>
        <v>25336126.672638878</v>
      </c>
      <c r="H804" s="785">
        <f>+J791*G804+E804</f>
        <v>3809662.0626020329</v>
      </c>
      <c r="I804" s="786">
        <f>+J792*G804+E804</f>
        <v>3809662.0626020329</v>
      </c>
      <c r="J804" s="783">
        <f t="shared" si="73"/>
        <v>0</v>
      </c>
      <c r="K804" s="783"/>
      <c r="L804" s="1304"/>
      <c r="M804" s="783">
        <f t="shared" si="74"/>
        <v>0</v>
      </c>
      <c r="N804" s="1304"/>
      <c r="O804" s="783">
        <f t="shared" si="75"/>
        <v>0</v>
      </c>
      <c r="P804" s="783">
        <f t="shared" si="76"/>
        <v>0</v>
      </c>
    </row>
    <row r="805" spans="3:16">
      <c r="C805" s="779">
        <f>IF(D790="","-",+C804+1)</f>
        <v>2026</v>
      </c>
      <c r="D805" s="727">
        <f t="shared" si="77"/>
        <v>24886372.944722213</v>
      </c>
      <c r="E805" s="780">
        <f t="shared" si="78"/>
        <v>899507.45583333331</v>
      </c>
      <c r="F805" s="780">
        <f t="shared" si="71"/>
        <v>23986865.488888878</v>
      </c>
      <c r="G805" s="727">
        <f t="shared" si="72"/>
        <v>24436619.216805547</v>
      </c>
      <c r="H805" s="785">
        <f>+J791*G805+E805</f>
        <v>3706342.9641368715</v>
      </c>
      <c r="I805" s="786">
        <f>+J792*G805+E805</f>
        <v>3706342.9641368715</v>
      </c>
      <c r="J805" s="783">
        <f t="shared" si="73"/>
        <v>0</v>
      </c>
      <c r="K805" s="783"/>
      <c r="L805" s="1304"/>
      <c r="M805" s="783">
        <f t="shared" si="74"/>
        <v>0</v>
      </c>
      <c r="N805" s="1304"/>
      <c r="O805" s="783">
        <f t="shared" si="75"/>
        <v>0</v>
      </c>
      <c r="P805" s="783">
        <f t="shared" si="76"/>
        <v>0</v>
      </c>
    </row>
    <row r="806" spans="3:16">
      <c r="C806" s="779">
        <f>IF(D790="","-",+C805+1)</f>
        <v>2027</v>
      </c>
      <c r="D806" s="727">
        <f t="shared" si="77"/>
        <v>23986865.488888878</v>
      </c>
      <c r="E806" s="780">
        <f t="shared" si="78"/>
        <v>899507.45583333331</v>
      </c>
      <c r="F806" s="780">
        <f t="shared" si="71"/>
        <v>23087358.033055544</v>
      </c>
      <c r="G806" s="727">
        <f t="shared" si="72"/>
        <v>23537111.760972209</v>
      </c>
      <c r="H806" s="785">
        <f>+J791*G806+E806</f>
        <v>3603023.8656717101</v>
      </c>
      <c r="I806" s="786">
        <f>+J792*G806+E806</f>
        <v>3603023.8656717101</v>
      </c>
      <c r="J806" s="783">
        <f t="shared" si="73"/>
        <v>0</v>
      </c>
      <c r="K806" s="783"/>
      <c r="L806" s="1304"/>
      <c r="M806" s="783">
        <f t="shared" si="74"/>
        <v>0</v>
      </c>
      <c r="N806" s="1304"/>
      <c r="O806" s="783">
        <f t="shared" si="75"/>
        <v>0</v>
      </c>
      <c r="P806" s="783">
        <f t="shared" si="76"/>
        <v>0</v>
      </c>
    </row>
    <row r="807" spans="3:16">
      <c r="C807" s="779">
        <f>IF(D790="","-",+C806+1)</f>
        <v>2028</v>
      </c>
      <c r="D807" s="727">
        <f t="shared" si="77"/>
        <v>23087358.033055544</v>
      </c>
      <c r="E807" s="780">
        <f t="shared" si="78"/>
        <v>899507.45583333331</v>
      </c>
      <c r="F807" s="780">
        <f t="shared" si="71"/>
        <v>22187850.577222209</v>
      </c>
      <c r="G807" s="727">
        <f t="shared" si="72"/>
        <v>22637604.305138879</v>
      </c>
      <c r="H807" s="785">
        <f>+J791*G807+E807</f>
        <v>3499704.7672065496</v>
      </c>
      <c r="I807" s="786">
        <f>+J792*G807+E807</f>
        <v>3499704.7672065496</v>
      </c>
      <c r="J807" s="783">
        <f t="shared" si="73"/>
        <v>0</v>
      </c>
      <c r="K807" s="783"/>
      <c r="L807" s="1304"/>
      <c r="M807" s="783">
        <f t="shared" si="74"/>
        <v>0</v>
      </c>
      <c r="N807" s="1304"/>
      <c r="O807" s="783">
        <f t="shared" si="75"/>
        <v>0</v>
      </c>
      <c r="P807" s="783">
        <f t="shared" si="76"/>
        <v>0</v>
      </c>
    </row>
    <row r="808" spans="3:16">
      <c r="C808" s="779">
        <f>IF(D790="","-",+C807+1)</f>
        <v>2029</v>
      </c>
      <c r="D808" s="727">
        <f t="shared" si="77"/>
        <v>22187850.577222209</v>
      </c>
      <c r="E808" s="780">
        <f t="shared" si="78"/>
        <v>899507.45583333331</v>
      </c>
      <c r="F808" s="780">
        <f t="shared" si="71"/>
        <v>21288343.121388875</v>
      </c>
      <c r="G808" s="727">
        <f t="shared" si="72"/>
        <v>21738096.84930554</v>
      </c>
      <c r="H808" s="785">
        <f>+J791*G808+E808</f>
        <v>3396385.6687413882</v>
      </c>
      <c r="I808" s="786">
        <f>+J792*G808+E808</f>
        <v>3396385.6687413882</v>
      </c>
      <c r="J808" s="783">
        <f t="shared" si="73"/>
        <v>0</v>
      </c>
      <c r="K808" s="783"/>
      <c r="L808" s="1304"/>
      <c r="M808" s="783">
        <f t="shared" si="74"/>
        <v>0</v>
      </c>
      <c r="N808" s="1304"/>
      <c r="O808" s="783">
        <f t="shared" si="75"/>
        <v>0</v>
      </c>
      <c r="P808" s="783">
        <f t="shared" si="76"/>
        <v>0</v>
      </c>
    </row>
    <row r="809" spans="3:16">
      <c r="C809" s="779">
        <f>IF(D790="","-",+C808+1)</f>
        <v>2030</v>
      </c>
      <c r="D809" s="727">
        <f t="shared" si="77"/>
        <v>21288343.121388875</v>
      </c>
      <c r="E809" s="780">
        <f t="shared" si="78"/>
        <v>899507.45583333331</v>
      </c>
      <c r="F809" s="780">
        <f t="shared" si="71"/>
        <v>20388835.66555554</v>
      </c>
      <c r="G809" s="727">
        <f t="shared" si="72"/>
        <v>20838589.39347221</v>
      </c>
      <c r="H809" s="785">
        <f>+J791*G809+E809</f>
        <v>3293066.5702762278</v>
      </c>
      <c r="I809" s="786">
        <f>+J792*G809+E809</f>
        <v>3293066.5702762278</v>
      </c>
      <c r="J809" s="783">
        <f t="shared" si="73"/>
        <v>0</v>
      </c>
      <c r="K809" s="783"/>
      <c r="L809" s="1304"/>
      <c r="M809" s="783">
        <f t="shared" si="74"/>
        <v>0</v>
      </c>
      <c r="N809" s="1304"/>
      <c r="O809" s="783">
        <f t="shared" si="75"/>
        <v>0</v>
      </c>
      <c r="P809" s="783">
        <f t="shared" si="76"/>
        <v>0</v>
      </c>
    </row>
    <row r="810" spans="3:16">
      <c r="C810" s="779">
        <f>IF(D790="","-",+C809+1)</f>
        <v>2031</v>
      </c>
      <c r="D810" s="727">
        <f t="shared" si="77"/>
        <v>20388835.66555554</v>
      </c>
      <c r="E810" s="780">
        <f t="shared" si="78"/>
        <v>899507.45583333331</v>
      </c>
      <c r="F810" s="780">
        <f t="shared" si="71"/>
        <v>19489328.209722206</v>
      </c>
      <c r="G810" s="727">
        <f t="shared" si="72"/>
        <v>19939081.937638871</v>
      </c>
      <c r="H810" s="785">
        <f>+J791*G810+E810</f>
        <v>3189747.4718110664</v>
      </c>
      <c r="I810" s="786">
        <f>+J792*G810+E810</f>
        <v>3189747.4718110664</v>
      </c>
      <c r="J810" s="783">
        <f t="shared" si="73"/>
        <v>0</v>
      </c>
      <c r="K810" s="783"/>
      <c r="L810" s="1304"/>
      <c r="M810" s="783">
        <f t="shared" si="74"/>
        <v>0</v>
      </c>
      <c r="N810" s="1304"/>
      <c r="O810" s="783">
        <f t="shared" si="75"/>
        <v>0</v>
      </c>
      <c r="P810" s="783">
        <f t="shared" si="76"/>
        <v>0</v>
      </c>
    </row>
    <row r="811" spans="3:16">
      <c r="C811" s="779">
        <f>IF(D790="","-",+C810+1)</f>
        <v>2032</v>
      </c>
      <c r="D811" s="727">
        <f t="shared" si="77"/>
        <v>19489328.209722206</v>
      </c>
      <c r="E811" s="780">
        <f t="shared" si="78"/>
        <v>899507.45583333331</v>
      </c>
      <c r="F811" s="780">
        <f t="shared" si="71"/>
        <v>18589820.753888872</v>
      </c>
      <c r="G811" s="727">
        <f t="shared" si="72"/>
        <v>19039574.481805541</v>
      </c>
      <c r="H811" s="785">
        <f>+J791*G811+E811</f>
        <v>3086428.373345905</v>
      </c>
      <c r="I811" s="786">
        <f>+J792*G811+E811</f>
        <v>3086428.373345905</v>
      </c>
      <c r="J811" s="783">
        <f t="shared" si="73"/>
        <v>0</v>
      </c>
      <c r="K811" s="783"/>
      <c r="L811" s="1304"/>
      <c r="M811" s="783">
        <f t="shared" si="74"/>
        <v>0</v>
      </c>
      <c r="N811" s="1304"/>
      <c r="O811" s="783">
        <f t="shared" si="75"/>
        <v>0</v>
      </c>
      <c r="P811" s="783">
        <f t="shared" si="76"/>
        <v>0</v>
      </c>
    </row>
    <row r="812" spans="3:16">
      <c r="C812" s="779">
        <f>IF(D790="","-",+C811+1)</f>
        <v>2033</v>
      </c>
      <c r="D812" s="727">
        <f t="shared" si="77"/>
        <v>18589820.753888872</v>
      </c>
      <c r="E812" s="780">
        <f t="shared" si="78"/>
        <v>899507.45583333331</v>
      </c>
      <c r="F812" s="780">
        <f t="shared" si="71"/>
        <v>17690313.298055537</v>
      </c>
      <c r="G812" s="727">
        <f t="shared" si="72"/>
        <v>18140067.025972202</v>
      </c>
      <c r="H812" s="785">
        <f>+J791*G812+E812</f>
        <v>2983109.2748807436</v>
      </c>
      <c r="I812" s="786">
        <f>+J792*G812+E812</f>
        <v>2983109.2748807436</v>
      </c>
      <c r="J812" s="783">
        <f t="shared" si="73"/>
        <v>0</v>
      </c>
      <c r="K812" s="783"/>
      <c r="L812" s="1304"/>
      <c r="M812" s="783">
        <f t="shared" si="74"/>
        <v>0</v>
      </c>
      <c r="N812" s="1304"/>
      <c r="O812" s="783">
        <f t="shared" si="75"/>
        <v>0</v>
      </c>
      <c r="P812" s="783">
        <f t="shared" si="76"/>
        <v>0</v>
      </c>
    </row>
    <row r="813" spans="3:16">
      <c r="C813" s="779">
        <f>IF(D790="","-",+C812+1)</f>
        <v>2034</v>
      </c>
      <c r="D813" s="727">
        <f t="shared" si="77"/>
        <v>17690313.298055537</v>
      </c>
      <c r="E813" s="780">
        <f t="shared" si="78"/>
        <v>899507.45583333331</v>
      </c>
      <c r="F813" s="780">
        <f t="shared" si="71"/>
        <v>16790805.842222203</v>
      </c>
      <c r="G813" s="727">
        <f t="shared" si="72"/>
        <v>17240559.570138872</v>
      </c>
      <c r="H813" s="785">
        <f>+J791*G813+E813</f>
        <v>2879790.1764155831</v>
      </c>
      <c r="I813" s="786">
        <f>+J792*G813+E813</f>
        <v>2879790.1764155831</v>
      </c>
      <c r="J813" s="783">
        <f t="shared" si="73"/>
        <v>0</v>
      </c>
      <c r="K813" s="783"/>
      <c r="L813" s="1304"/>
      <c r="M813" s="783">
        <f t="shared" si="74"/>
        <v>0</v>
      </c>
      <c r="N813" s="1304"/>
      <c r="O813" s="783">
        <f t="shared" si="75"/>
        <v>0</v>
      </c>
      <c r="P813" s="783">
        <f t="shared" si="76"/>
        <v>0</v>
      </c>
    </row>
    <row r="814" spans="3:16">
      <c r="C814" s="779">
        <f>IF(D790="","-",+C813+1)</f>
        <v>2035</v>
      </c>
      <c r="D814" s="727">
        <f t="shared" si="77"/>
        <v>16790805.842222203</v>
      </c>
      <c r="E814" s="780">
        <f t="shared" si="78"/>
        <v>899507.45583333331</v>
      </c>
      <c r="F814" s="780">
        <f t="shared" si="71"/>
        <v>15891298.38638887</v>
      </c>
      <c r="G814" s="727">
        <f t="shared" si="72"/>
        <v>16341052.114305537</v>
      </c>
      <c r="H814" s="785">
        <f>+J791*G814+E814</f>
        <v>2776471.0779504217</v>
      </c>
      <c r="I814" s="786">
        <f>+J792*G814+E814</f>
        <v>2776471.0779504217</v>
      </c>
      <c r="J814" s="783">
        <f t="shared" si="73"/>
        <v>0</v>
      </c>
      <c r="K814" s="783"/>
      <c r="L814" s="1304"/>
      <c r="M814" s="783">
        <f t="shared" si="74"/>
        <v>0</v>
      </c>
      <c r="N814" s="1304"/>
      <c r="O814" s="783">
        <f t="shared" si="75"/>
        <v>0</v>
      </c>
      <c r="P814" s="783">
        <f t="shared" si="76"/>
        <v>0</v>
      </c>
    </row>
    <row r="815" spans="3:16">
      <c r="C815" s="779">
        <f>IF(D790="","-",+C814+1)</f>
        <v>2036</v>
      </c>
      <c r="D815" s="727">
        <f t="shared" si="77"/>
        <v>15891298.38638887</v>
      </c>
      <c r="E815" s="780">
        <f t="shared" si="78"/>
        <v>899507.45583333331</v>
      </c>
      <c r="F815" s="780">
        <f t="shared" si="71"/>
        <v>14991790.930555537</v>
      </c>
      <c r="G815" s="727">
        <f t="shared" si="72"/>
        <v>15441544.658472203</v>
      </c>
      <c r="H815" s="785">
        <f>+J791*G815+E815</f>
        <v>2673151.9794852613</v>
      </c>
      <c r="I815" s="786">
        <f>+J792*G815+E815</f>
        <v>2673151.9794852613</v>
      </c>
      <c r="J815" s="783">
        <f t="shared" si="73"/>
        <v>0</v>
      </c>
      <c r="K815" s="783"/>
      <c r="L815" s="1304"/>
      <c r="M815" s="783">
        <f t="shared" si="74"/>
        <v>0</v>
      </c>
      <c r="N815" s="1304"/>
      <c r="O815" s="783">
        <f t="shared" si="75"/>
        <v>0</v>
      </c>
      <c r="P815" s="783">
        <f t="shared" si="76"/>
        <v>0</v>
      </c>
    </row>
    <row r="816" spans="3:16">
      <c r="C816" s="779">
        <f>IF(D790="","-",+C815+1)</f>
        <v>2037</v>
      </c>
      <c r="D816" s="727">
        <f t="shared" si="77"/>
        <v>14991790.930555537</v>
      </c>
      <c r="E816" s="780">
        <f t="shared" si="78"/>
        <v>899507.45583333331</v>
      </c>
      <c r="F816" s="780">
        <f t="shared" si="71"/>
        <v>14092283.474722205</v>
      </c>
      <c r="G816" s="727">
        <f t="shared" si="72"/>
        <v>14542037.202638872</v>
      </c>
      <c r="H816" s="785">
        <f>+J791*G816+E816</f>
        <v>2569832.8810201003</v>
      </c>
      <c r="I816" s="786">
        <f>+J792*G816+E816</f>
        <v>2569832.8810201003</v>
      </c>
      <c r="J816" s="783">
        <f t="shared" si="73"/>
        <v>0</v>
      </c>
      <c r="K816" s="783"/>
      <c r="L816" s="1304"/>
      <c r="M816" s="783">
        <f t="shared" si="74"/>
        <v>0</v>
      </c>
      <c r="N816" s="1304"/>
      <c r="O816" s="783">
        <f t="shared" si="75"/>
        <v>0</v>
      </c>
      <c r="P816" s="783">
        <f t="shared" si="76"/>
        <v>0</v>
      </c>
    </row>
    <row r="817" spans="3:16">
      <c r="C817" s="779">
        <f>IF(D790="","-",+C816+1)</f>
        <v>2038</v>
      </c>
      <c r="D817" s="727">
        <f t="shared" si="77"/>
        <v>14092283.474722205</v>
      </c>
      <c r="E817" s="780">
        <f t="shared" si="78"/>
        <v>899507.45583333331</v>
      </c>
      <c r="F817" s="780">
        <f t="shared" si="71"/>
        <v>13192776.018888872</v>
      </c>
      <c r="G817" s="727">
        <f t="shared" si="72"/>
        <v>13642529.746805537</v>
      </c>
      <c r="H817" s="785">
        <f>+J791*G817+E817</f>
        <v>2466513.7825549394</v>
      </c>
      <c r="I817" s="786">
        <f>+J792*G817+E817</f>
        <v>2466513.7825549394</v>
      </c>
      <c r="J817" s="783">
        <f t="shared" si="73"/>
        <v>0</v>
      </c>
      <c r="K817" s="783"/>
      <c r="L817" s="1304"/>
      <c r="M817" s="783">
        <f t="shared" si="74"/>
        <v>0</v>
      </c>
      <c r="N817" s="1304"/>
      <c r="O817" s="783">
        <f t="shared" si="75"/>
        <v>0</v>
      </c>
      <c r="P817" s="783">
        <f t="shared" si="76"/>
        <v>0</v>
      </c>
    </row>
    <row r="818" spans="3:16">
      <c r="C818" s="779">
        <f>IF(D790="","-",+C817+1)</f>
        <v>2039</v>
      </c>
      <c r="D818" s="727">
        <f t="shared" si="77"/>
        <v>13192776.018888872</v>
      </c>
      <c r="E818" s="780">
        <f t="shared" si="78"/>
        <v>899507.45583333331</v>
      </c>
      <c r="F818" s="780">
        <f t="shared" si="71"/>
        <v>12293268.56305554</v>
      </c>
      <c r="G818" s="727">
        <f t="shared" si="72"/>
        <v>12743022.290972207</v>
      </c>
      <c r="H818" s="785">
        <f>+J791*G818+E818</f>
        <v>2363194.6840897785</v>
      </c>
      <c r="I818" s="786">
        <f>+J792*G818+E818</f>
        <v>2363194.6840897785</v>
      </c>
      <c r="J818" s="783">
        <f t="shared" si="73"/>
        <v>0</v>
      </c>
      <c r="K818" s="783"/>
      <c r="L818" s="1304"/>
      <c r="M818" s="783">
        <f t="shared" si="74"/>
        <v>0</v>
      </c>
      <c r="N818" s="1304"/>
      <c r="O818" s="783">
        <f t="shared" si="75"/>
        <v>0</v>
      </c>
      <c r="P818" s="783">
        <f t="shared" si="76"/>
        <v>0</v>
      </c>
    </row>
    <row r="819" spans="3:16">
      <c r="C819" s="779">
        <f>IF(D790="","-",+C818+1)</f>
        <v>2040</v>
      </c>
      <c r="D819" s="727">
        <f t="shared" si="77"/>
        <v>12293268.56305554</v>
      </c>
      <c r="E819" s="780">
        <f t="shared" si="78"/>
        <v>899507.45583333331</v>
      </c>
      <c r="F819" s="780">
        <f t="shared" si="71"/>
        <v>11393761.107222207</v>
      </c>
      <c r="G819" s="727">
        <f t="shared" si="72"/>
        <v>11843514.835138872</v>
      </c>
      <c r="H819" s="785">
        <f>+J791*G819+E819</f>
        <v>2259875.5856246175</v>
      </c>
      <c r="I819" s="786">
        <f>+J792*G819+E819</f>
        <v>2259875.5856246175</v>
      </c>
      <c r="J819" s="783">
        <f t="shared" si="73"/>
        <v>0</v>
      </c>
      <c r="K819" s="783"/>
      <c r="L819" s="1304"/>
      <c r="M819" s="783">
        <f t="shared" si="74"/>
        <v>0</v>
      </c>
      <c r="N819" s="1304"/>
      <c r="O819" s="783">
        <f t="shared" si="75"/>
        <v>0</v>
      </c>
      <c r="P819" s="783">
        <f t="shared" si="76"/>
        <v>0</v>
      </c>
    </row>
    <row r="820" spans="3:16">
      <c r="C820" s="779">
        <f>IF(D790="","-",+C819+1)</f>
        <v>2041</v>
      </c>
      <c r="D820" s="727">
        <f t="shared" si="77"/>
        <v>11393761.107222207</v>
      </c>
      <c r="E820" s="780">
        <f t="shared" si="78"/>
        <v>899507.45583333331</v>
      </c>
      <c r="F820" s="780">
        <f t="shared" si="71"/>
        <v>10494253.651388874</v>
      </c>
      <c r="G820" s="727">
        <f t="shared" si="72"/>
        <v>10944007.379305542</v>
      </c>
      <c r="H820" s="785">
        <f>+J791*G820+E820</f>
        <v>2156556.4871594571</v>
      </c>
      <c r="I820" s="786">
        <f>+J792*G820+E820</f>
        <v>2156556.4871594571</v>
      </c>
      <c r="J820" s="783">
        <f t="shared" si="73"/>
        <v>0</v>
      </c>
      <c r="K820" s="783"/>
      <c r="L820" s="1304"/>
      <c r="M820" s="783">
        <f t="shared" si="74"/>
        <v>0</v>
      </c>
      <c r="N820" s="1304"/>
      <c r="O820" s="783">
        <f t="shared" si="75"/>
        <v>0</v>
      </c>
      <c r="P820" s="783">
        <f t="shared" si="76"/>
        <v>0</v>
      </c>
    </row>
    <row r="821" spans="3:16">
      <c r="C821" s="779">
        <f>IF(D790="","-",+C820+1)</f>
        <v>2042</v>
      </c>
      <c r="D821" s="727">
        <f t="shared" si="77"/>
        <v>10494253.651388874</v>
      </c>
      <c r="E821" s="780">
        <f t="shared" si="78"/>
        <v>899507.45583333331</v>
      </c>
      <c r="F821" s="780">
        <f t="shared" si="71"/>
        <v>9594746.1955555417</v>
      </c>
      <c r="G821" s="727">
        <f t="shared" si="72"/>
        <v>10044499.923472207</v>
      </c>
      <c r="H821" s="785">
        <f>+J791*G821+E821</f>
        <v>2053237.3886942957</v>
      </c>
      <c r="I821" s="786">
        <f>+J792*G821+E821</f>
        <v>2053237.3886942957</v>
      </c>
      <c r="J821" s="783">
        <f t="shared" si="73"/>
        <v>0</v>
      </c>
      <c r="K821" s="783"/>
      <c r="L821" s="1304"/>
      <c r="M821" s="783">
        <f t="shared" si="74"/>
        <v>0</v>
      </c>
      <c r="N821" s="1304"/>
      <c r="O821" s="783">
        <f t="shared" si="75"/>
        <v>0</v>
      </c>
      <c r="P821" s="783">
        <f t="shared" si="76"/>
        <v>0</v>
      </c>
    </row>
    <row r="822" spans="3:16">
      <c r="C822" s="779">
        <f>IF(D790="","-",+C821+1)</f>
        <v>2043</v>
      </c>
      <c r="D822" s="727">
        <f t="shared" si="77"/>
        <v>9594746.1955555417</v>
      </c>
      <c r="E822" s="780">
        <f t="shared" si="78"/>
        <v>899507.45583333331</v>
      </c>
      <c r="F822" s="780">
        <f t="shared" si="71"/>
        <v>8695238.7397222091</v>
      </c>
      <c r="G822" s="727">
        <f t="shared" si="72"/>
        <v>9144992.4676388763</v>
      </c>
      <c r="H822" s="785">
        <f>+J791*G822+E822</f>
        <v>1949918.290229135</v>
      </c>
      <c r="I822" s="786">
        <f>+J792*G822+E822</f>
        <v>1949918.290229135</v>
      </c>
      <c r="J822" s="783">
        <f t="shared" si="73"/>
        <v>0</v>
      </c>
      <c r="K822" s="783"/>
      <c r="L822" s="1304"/>
      <c r="M822" s="783">
        <f t="shared" si="74"/>
        <v>0</v>
      </c>
      <c r="N822" s="1304"/>
      <c r="O822" s="783">
        <f t="shared" si="75"/>
        <v>0</v>
      </c>
      <c r="P822" s="783">
        <f t="shared" si="76"/>
        <v>0</v>
      </c>
    </row>
    <row r="823" spans="3:16">
      <c r="C823" s="779">
        <f>IF(D790="","-",+C822+1)</f>
        <v>2044</v>
      </c>
      <c r="D823" s="727">
        <f t="shared" si="77"/>
        <v>8695238.7397222091</v>
      </c>
      <c r="E823" s="780">
        <f t="shared" si="78"/>
        <v>899507.45583333331</v>
      </c>
      <c r="F823" s="780">
        <f t="shared" si="71"/>
        <v>7795731.2838888755</v>
      </c>
      <c r="G823" s="727">
        <f t="shared" si="72"/>
        <v>8245485.0118055418</v>
      </c>
      <c r="H823" s="785">
        <f>+J791*G823+E823</f>
        <v>1846599.1917639738</v>
      </c>
      <c r="I823" s="786">
        <f>+J792*G823+E823</f>
        <v>1846599.1917639738</v>
      </c>
      <c r="J823" s="783">
        <f t="shared" si="73"/>
        <v>0</v>
      </c>
      <c r="K823" s="783"/>
      <c r="L823" s="1304"/>
      <c r="M823" s="783">
        <f t="shared" si="74"/>
        <v>0</v>
      </c>
      <c r="N823" s="1304"/>
      <c r="O823" s="783">
        <f t="shared" si="75"/>
        <v>0</v>
      </c>
      <c r="P823" s="783">
        <f t="shared" si="76"/>
        <v>0</v>
      </c>
    </row>
    <row r="824" spans="3:16">
      <c r="C824" s="779">
        <f>IF(D790="","-",+C823+1)</f>
        <v>2045</v>
      </c>
      <c r="D824" s="727">
        <f t="shared" si="77"/>
        <v>7795731.2838888755</v>
      </c>
      <c r="E824" s="780">
        <f t="shared" si="78"/>
        <v>899507.45583333331</v>
      </c>
      <c r="F824" s="780">
        <f t="shared" si="71"/>
        <v>6896223.828055542</v>
      </c>
      <c r="G824" s="727">
        <f t="shared" si="72"/>
        <v>7345977.5559722092</v>
      </c>
      <c r="H824" s="785">
        <f>+J791*G824+E824</f>
        <v>1743280.0932988129</v>
      </c>
      <c r="I824" s="786">
        <f>+J792*G824+E824</f>
        <v>1743280.0932988129</v>
      </c>
      <c r="J824" s="783">
        <f t="shared" si="73"/>
        <v>0</v>
      </c>
      <c r="K824" s="783"/>
      <c r="L824" s="1304"/>
      <c r="M824" s="783">
        <f t="shared" si="74"/>
        <v>0</v>
      </c>
      <c r="N824" s="1304"/>
      <c r="O824" s="783">
        <f t="shared" si="75"/>
        <v>0</v>
      </c>
      <c r="P824" s="783">
        <f t="shared" si="76"/>
        <v>0</v>
      </c>
    </row>
    <row r="825" spans="3:16">
      <c r="C825" s="779">
        <f>IF(D790="","-",+C824+1)</f>
        <v>2046</v>
      </c>
      <c r="D825" s="727">
        <f t="shared" si="77"/>
        <v>6896223.828055542</v>
      </c>
      <c r="E825" s="780">
        <f t="shared" si="78"/>
        <v>899507.45583333331</v>
      </c>
      <c r="F825" s="780">
        <f t="shared" si="71"/>
        <v>5996716.3722222084</v>
      </c>
      <c r="G825" s="727">
        <f t="shared" si="72"/>
        <v>6446470.1001388747</v>
      </c>
      <c r="H825" s="785">
        <f>+J791*G825+E825</f>
        <v>1639960.9948336519</v>
      </c>
      <c r="I825" s="786">
        <f>+J792*G825+E825</f>
        <v>1639960.9948336519</v>
      </c>
      <c r="J825" s="783">
        <f t="shared" si="73"/>
        <v>0</v>
      </c>
      <c r="K825" s="783"/>
      <c r="L825" s="1304"/>
      <c r="M825" s="783">
        <f t="shared" si="74"/>
        <v>0</v>
      </c>
      <c r="N825" s="1304"/>
      <c r="O825" s="783">
        <f t="shared" si="75"/>
        <v>0</v>
      </c>
      <c r="P825" s="783">
        <f t="shared" si="76"/>
        <v>0</v>
      </c>
    </row>
    <row r="826" spans="3:16">
      <c r="C826" s="779">
        <f>IF(D790="","-",+C825+1)</f>
        <v>2047</v>
      </c>
      <c r="D826" s="727">
        <f t="shared" si="77"/>
        <v>5996716.3722222084</v>
      </c>
      <c r="E826" s="780">
        <f t="shared" si="78"/>
        <v>899507.45583333331</v>
      </c>
      <c r="F826" s="780">
        <f t="shared" si="71"/>
        <v>5097208.9163888749</v>
      </c>
      <c r="G826" s="727">
        <f t="shared" si="72"/>
        <v>5546962.6443055421</v>
      </c>
      <c r="H826" s="785">
        <f>+J791*G826+E826</f>
        <v>1536641.896368491</v>
      </c>
      <c r="I826" s="786">
        <f>+J792*G826+E826</f>
        <v>1536641.896368491</v>
      </c>
      <c r="J826" s="783">
        <f t="shared" si="73"/>
        <v>0</v>
      </c>
      <c r="K826" s="783"/>
      <c r="L826" s="1304"/>
      <c r="M826" s="783">
        <f t="shared" si="74"/>
        <v>0</v>
      </c>
      <c r="N826" s="1304"/>
      <c r="O826" s="783">
        <f t="shared" si="75"/>
        <v>0</v>
      </c>
      <c r="P826" s="783">
        <f t="shared" si="76"/>
        <v>0</v>
      </c>
    </row>
    <row r="827" spans="3:16">
      <c r="C827" s="779">
        <f>IF(D790="","-",+C826+1)</f>
        <v>2048</v>
      </c>
      <c r="D827" s="727">
        <f t="shared" si="77"/>
        <v>5097208.9163888749</v>
      </c>
      <c r="E827" s="780">
        <f t="shared" si="78"/>
        <v>899507.45583333331</v>
      </c>
      <c r="F827" s="780">
        <f t="shared" si="71"/>
        <v>4197701.4605555413</v>
      </c>
      <c r="G827" s="727">
        <f t="shared" si="72"/>
        <v>4647455.1884722076</v>
      </c>
      <c r="H827" s="785">
        <f>+J791*G827+E827</f>
        <v>1433322.7979033301</v>
      </c>
      <c r="I827" s="786">
        <f>+J792*G827+E827</f>
        <v>1433322.7979033301</v>
      </c>
      <c r="J827" s="783">
        <f t="shared" si="73"/>
        <v>0</v>
      </c>
      <c r="K827" s="783"/>
      <c r="L827" s="1304"/>
      <c r="M827" s="783">
        <f t="shared" si="74"/>
        <v>0</v>
      </c>
      <c r="N827" s="1304"/>
      <c r="O827" s="783">
        <f t="shared" si="75"/>
        <v>0</v>
      </c>
      <c r="P827" s="783">
        <f t="shared" si="76"/>
        <v>0</v>
      </c>
    </row>
    <row r="828" spans="3:16">
      <c r="C828" s="779">
        <f>IF(D790="","-",+C827+1)</f>
        <v>2049</v>
      </c>
      <c r="D828" s="727">
        <f t="shared" si="77"/>
        <v>4197701.4605555413</v>
      </c>
      <c r="E828" s="780">
        <f t="shared" si="78"/>
        <v>899507.45583333331</v>
      </c>
      <c r="F828" s="780">
        <f t="shared" si="71"/>
        <v>3298194.0047222078</v>
      </c>
      <c r="G828" s="727">
        <f t="shared" si="72"/>
        <v>3747947.7326388746</v>
      </c>
      <c r="H828" s="785">
        <f>+J791*G828+E828</f>
        <v>1330003.6994381691</v>
      </c>
      <c r="I828" s="786">
        <f>+J792*G828+E828</f>
        <v>1330003.6994381691</v>
      </c>
      <c r="J828" s="783">
        <f t="shared" si="73"/>
        <v>0</v>
      </c>
      <c r="K828" s="783"/>
      <c r="L828" s="1304"/>
      <c r="M828" s="783">
        <f t="shared" si="74"/>
        <v>0</v>
      </c>
      <c r="N828" s="1304"/>
      <c r="O828" s="783">
        <f t="shared" si="75"/>
        <v>0</v>
      </c>
      <c r="P828" s="783">
        <f t="shared" si="76"/>
        <v>0</v>
      </c>
    </row>
    <row r="829" spans="3:16">
      <c r="C829" s="779">
        <f>IF(D790="","-",+C828+1)</f>
        <v>2050</v>
      </c>
      <c r="D829" s="727">
        <f t="shared" si="77"/>
        <v>3298194.0047222078</v>
      </c>
      <c r="E829" s="780">
        <f t="shared" si="78"/>
        <v>899507.45583333331</v>
      </c>
      <c r="F829" s="780">
        <f t="shared" si="71"/>
        <v>2398686.5488888742</v>
      </c>
      <c r="G829" s="727">
        <f t="shared" si="72"/>
        <v>2848440.276805541</v>
      </c>
      <c r="H829" s="785">
        <f>+J791*G829+E829</f>
        <v>1226684.600973008</v>
      </c>
      <c r="I829" s="786">
        <f>+J792*G829+E829</f>
        <v>1226684.600973008</v>
      </c>
      <c r="J829" s="783">
        <f t="shared" si="73"/>
        <v>0</v>
      </c>
      <c r="K829" s="783"/>
      <c r="L829" s="1304"/>
      <c r="M829" s="783">
        <f t="shared" si="74"/>
        <v>0</v>
      </c>
      <c r="N829" s="1304"/>
      <c r="O829" s="783">
        <f t="shared" si="75"/>
        <v>0</v>
      </c>
      <c r="P829" s="783">
        <f t="shared" si="76"/>
        <v>0</v>
      </c>
    </row>
    <row r="830" spans="3:16">
      <c r="C830" s="779">
        <f>IF(D790="","-",+C829+1)</f>
        <v>2051</v>
      </c>
      <c r="D830" s="727">
        <f t="shared" si="77"/>
        <v>2398686.5488888742</v>
      </c>
      <c r="E830" s="780">
        <f t="shared" si="78"/>
        <v>899507.45583333331</v>
      </c>
      <c r="F830" s="780">
        <f t="shared" si="71"/>
        <v>1499179.0930555409</v>
      </c>
      <c r="G830" s="727">
        <f t="shared" si="72"/>
        <v>1948932.8209722075</v>
      </c>
      <c r="H830" s="785">
        <f>+J791*G830+E830</f>
        <v>1123365.502507847</v>
      </c>
      <c r="I830" s="786">
        <f>+J792*G830+E830</f>
        <v>1123365.502507847</v>
      </c>
      <c r="J830" s="783">
        <f t="shared" si="73"/>
        <v>0</v>
      </c>
      <c r="K830" s="783"/>
      <c r="L830" s="1304"/>
      <c r="M830" s="783">
        <f t="shared" si="74"/>
        <v>0</v>
      </c>
      <c r="N830" s="1304"/>
      <c r="O830" s="783">
        <f t="shared" si="75"/>
        <v>0</v>
      </c>
      <c r="P830" s="783">
        <f t="shared" si="76"/>
        <v>0</v>
      </c>
    </row>
    <row r="831" spans="3:16">
      <c r="C831" s="779">
        <f>IF(D790="","-",+C830+1)</f>
        <v>2052</v>
      </c>
      <c r="D831" s="727">
        <f t="shared" si="77"/>
        <v>1499179.0930555409</v>
      </c>
      <c r="E831" s="780">
        <f t="shared" si="78"/>
        <v>899507.45583333331</v>
      </c>
      <c r="F831" s="780">
        <f t="shared" si="71"/>
        <v>599671.63722220762</v>
      </c>
      <c r="G831" s="727">
        <f t="shared" si="72"/>
        <v>1049425.3651388744</v>
      </c>
      <c r="H831" s="785">
        <f>+J791*G831+E831</f>
        <v>1020046.4040426861</v>
      </c>
      <c r="I831" s="786">
        <f>+J792*G831+E831</f>
        <v>1020046.4040426861</v>
      </c>
      <c r="J831" s="783">
        <f t="shared" si="73"/>
        <v>0</v>
      </c>
      <c r="K831" s="783"/>
      <c r="L831" s="1304"/>
      <c r="M831" s="783">
        <f t="shared" si="74"/>
        <v>0</v>
      </c>
      <c r="N831" s="1304"/>
      <c r="O831" s="783">
        <f t="shared" si="75"/>
        <v>0</v>
      </c>
      <c r="P831" s="783">
        <f t="shared" si="76"/>
        <v>0</v>
      </c>
    </row>
    <row r="832" spans="3:16">
      <c r="C832" s="779">
        <f>IF(D790="","-",+C831+1)</f>
        <v>2053</v>
      </c>
      <c r="D832" s="727">
        <f t="shared" si="77"/>
        <v>599671.63722220762</v>
      </c>
      <c r="E832" s="780">
        <f t="shared" si="78"/>
        <v>599671.63722220762</v>
      </c>
      <c r="F832" s="780">
        <f t="shared" si="71"/>
        <v>0</v>
      </c>
      <c r="G832" s="727">
        <f t="shared" si="72"/>
        <v>299835.81861110381</v>
      </c>
      <c r="H832" s="785">
        <f>+J791*G832+E832</f>
        <v>634111.33671059378</v>
      </c>
      <c r="I832" s="786">
        <f>+J792*G832+E832</f>
        <v>634111.33671059378</v>
      </c>
      <c r="J832" s="783">
        <f t="shared" si="73"/>
        <v>0</v>
      </c>
      <c r="K832" s="783"/>
      <c r="L832" s="1304"/>
      <c r="M832" s="783">
        <f t="shared" si="74"/>
        <v>0</v>
      </c>
      <c r="N832" s="1304"/>
      <c r="O832" s="783">
        <f t="shared" si="75"/>
        <v>0</v>
      </c>
      <c r="P832" s="783">
        <f t="shared" si="76"/>
        <v>0</v>
      </c>
    </row>
    <row r="833" spans="3:16">
      <c r="C833" s="779">
        <f>IF(D790="","-",+C832+1)</f>
        <v>2054</v>
      </c>
      <c r="D833" s="727">
        <f t="shared" si="77"/>
        <v>0</v>
      </c>
      <c r="E833" s="780">
        <f t="shared" si="78"/>
        <v>0</v>
      </c>
      <c r="F833" s="780">
        <f t="shared" si="71"/>
        <v>0</v>
      </c>
      <c r="G833" s="727">
        <f t="shared" si="72"/>
        <v>0</v>
      </c>
      <c r="H833" s="785">
        <f>+J791*G833+E833</f>
        <v>0</v>
      </c>
      <c r="I833" s="786">
        <f>+J792*G833+E833</f>
        <v>0</v>
      </c>
      <c r="J833" s="783">
        <f t="shared" si="73"/>
        <v>0</v>
      </c>
      <c r="K833" s="783"/>
      <c r="L833" s="1304"/>
      <c r="M833" s="783">
        <f t="shared" si="74"/>
        <v>0</v>
      </c>
      <c r="N833" s="1304"/>
      <c r="O833" s="783">
        <f t="shared" si="75"/>
        <v>0</v>
      </c>
      <c r="P833" s="783">
        <f t="shared" si="76"/>
        <v>0</v>
      </c>
    </row>
    <row r="834" spans="3:16">
      <c r="C834" s="779">
        <f>IF(D790="","-",+C833+1)</f>
        <v>2055</v>
      </c>
      <c r="D834" s="727">
        <f t="shared" si="77"/>
        <v>0</v>
      </c>
      <c r="E834" s="780">
        <f t="shared" si="78"/>
        <v>0</v>
      </c>
      <c r="F834" s="780">
        <f t="shared" si="71"/>
        <v>0</v>
      </c>
      <c r="G834" s="727">
        <f t="shared" si="72"/>
        <v>0</v>
      </c>
      <c r="H834" s="785">
        <f>+J791*G834+E834</f>
        <v>0</v>
      </c>
      <c r="I834" s="786">
        <f>+J792*G834+E834</f>
        <v>0</v>
      </c>
      <c r="J834" s="783">
        <f t="shared" si="73"/>
        <v>0</v>
      </c>
      <c r="K834" s="783"/>
      <c r="L834" s="1304"/>
      <c r="M834" s="783">
        <f t="shared" si="74"/>
        <v>0</v>
      </c>
      <c r="N834" s="1304"/>
      <c r="O834" s="783">
        <f t="shared" si="75"/>
        <v>0</v>
      </c>
      <c r="P834" s="783">
        <f t="shared" si="76"/>
        <v>0</v>
      </c>
    </row>
    <row r="835" spans="3:16">
      <c r="C835" s="779">
        <f>IF(D790="","-",+C834+1)</f>
        <v>2056</v>
      </c>
      <c r="D835" s="727">
        <f t="shared" si="77"/>
        <v>0</v>
      </c>
      <c r="E835" s="780">
        <f t="shared" si="78"/>
        <v>0</v>
      </c>
      <c r="F835" s="780">
        <f t="shared" si="71"/>
        <v>0</v>
      </c>
      <c r="G835" s="727">
        <f t="shared" si="72"/>
        <v>0</v>
      </c>
      <c r="H835" s="785">
        <f>+J791*G835+E835</f>
        <v>0</v>
      </c>
      <c r="I835" s="786">
        <f>+J792*G835+E835</f>
        <v>0</v>
      </c>
      <c r="J835" s="783">
        <f t="shared" si="73"/>
        <v>0</v>
      </c>
      <c r="K835" s="783"/>
      <c r="L835" s="1304"/>
      <c r="M835" s="783">
        <f t="shared" si="74"/>
        <v>0</v>
      </c>
      <c r="N835" s="1304"/>
      <c r="O835" s="783">
        <f t="shared" si="75"/>
        <v>0</v>
      </c>
      <c r="P835" s="783">
        <f t="shared" si="76"/>
        <v>0</v>
      </c>
    </row>
    <row r="836" spans="3:16">
      <c r="C836" s="779">
        <f>IF(D790="","-",+C835+1)</f>
        <v>2057</v>
      </c>
      <c r="D836" s="727">
        <f t="shared" si="77"/>
        <v>0</v>
      </c>
      <c r="E836" s="780">
        <f t="shared" si="78"/>
        <v>0</v>
      </c>
      <c r="F836" s="780">
        <f t="shared" si="71"/>
        <v>0</v>
      </c>
      <c r="G836" s="727">
        <f t="shared" si="72"/>
        <v>0</v>
      </c>
      <c r="H836" s="785">
        <f>+J791*G836+E836</f>
        <v>0</v>
      </c>
      <c r="I836" s="786">
        <f>+J792*G836+E836</f>
        <v>0</v>
      </c>
      <c r="J836" s="783">
        <f t="shared" si="73"/>
        <v>0</v>
      </c>
      <c r="K836" s="783"/>
      <c r="L836" s="1304"/>
      <c r="M836" s="783">
        <f t="shared" si="74"/>
        <v>0</v>
      </c>
      <c r="N836" s="1304"/>
      <c r="O836" s="783">
        <f t="shared" si="75"/>
        <v>0</v>
      </c>
      <c r="P836" s="783">
        <f t="shared" si="76"/>
        <v>0</v>
      </c>
    </row>
    <row r="837" spans="3:16">
      <c r="C837" s="779">
        <f>IF(D790="","-",+C836+1)</f>
        <v>2058</v>
      </c>
      <c r="D837" s="727">
        <f t="shared" si="77"/>
        <v>0</v>
      </c>
      <c r="E837" s="780">
        <f t="shared" si="78"/>
        <v>0</v>
      </c>
      <c r="F837" s="780">
        <f t="shared" si="71"/>
        <v>0</v>
      </c>
      <c r="G837" s="727">
        <f t="shared" si="72"/>
        <v>0</v>
      </c>
      <c r="H837" s="785">
        <f>+J791*G837+E837</f>
        <v>0</v>
      </c>
      <c r="I837" s="786">
        <f>+J792*G837+E837</f>
        <v>0</v>
      </c>
      <c r="J837" s="783">
        <f t="shared" si="73"/>
        <v>0</v>
      </c>
      <c r="K837" s="783"/>
      <c r="L837" s="1304"/>
      <c r="M837" s="783">
        <f t="shared" si="74"/>
        <v>0</v>
      </c>
      <c r="N837" s="1304"/>
      <c r="O837" s="783">
        <f t="shared" si="75"/>
        <v>0</v>
      </c>
      <c r="P837" s="783">
        <f t="shared" si="76"/>
        <v>0</v>
      </c>
    </row>
    <row r="838" spans="3:16">
      <c r="C838" s="779">
        <f>IF(D790="","-",+C837+1)</f>
        <v>2059</v>
      </c>
      <c r="D838" s="727">
        <f t="shared" si="77"/>
        <v>0</v>
      </c>
      <c r="E838" s="780">
        <f t="shared" si="78"/>
        <v>0</v>
      </c>
      <c r="F838" s="780">
        <f t="shared" si="71"/>
        <v>0</v>
      </c>
      <c r="G838" s="727">
        <f t="shared" si="72"/>
        <v>0</v>
      </c>
      <c r="H838" s="785">
        <f>+J791*G838+E838</f>
        <v>0</v>
      </c>
      <c r="I838" s="786">
        <f>+J792*G838+E838</f>
        <v>0</v>
      </c>
      <c r="J838" s="783">
        <f t="shared" si="73"/>
        <v>0</v>
      </c>
      <c r="K838" s="783"/>
      <c r="L838" s="1304"/>
      <c r="M838" s="783">
        <f t="shared" si="74"/>
        <v>0</v>
      </c>
      <c r="N838" s="1304"/>
      <c r="O838" s="783">
        <f t="shared" si="75"/>
        <v>0</v>
      </c>
      <c r="P838" s="783">
        <f t="shared" si="76"/>
        <v>0</v>
      </c>
    </row>
    <row r="839" spans="3:16">
      <c r="C839" s="779">
        <f>IF(D790="","-",+C838+1)</f>
        <v>2060</v>
      </c>
      <c r="D839" s="727">
        <f t="shared" si="77"/>
        <v>0</v>
      </c>
      <c r="E839" s="780">
        <f t="shared" si="78"/>
        <v>0</v>
      </c>
      <c r="F839" s="780">
        <f t="shared" si="71"/>
        <v>0</v>
      </c>
      <c r="G839" s="727">
        <f t="shared" si="72"/>
        <v>0</v>
      </c>
      <c r="H839" s="785">
        <f>+J791*G839+E839</f>
        <v>0</v>
      </c>
      <c r="I839" s="786">
        <f>+J792*G839+E839</f>
        <v>0</v>
      </c>
      <c r="J839" s="783">
        <f t="shared" si="73"/>
        <v>0</v>
      </c>
      <c r="K839" s="783"/>
      <c r="L839" s="1304"/>
      <c r="M839" s="783">
        <f t="shared" si="74"/>
        <v>0</v>
      </c>
      <c r="N839" s="1304"/>
      <c r="O839" s="783">
        <f t="shared" si="75"/>
        <v>0</v>
      </c>
      <c r="P839" s="783">
        <f t="shared" si="76"/>
        <v>0</v>
      </c>
    </row>
    <row r="840" spans="3:16">
      <c r="C840" s="779">
        <f>IF(D790="","-",+C839+1)</f>
        <v>2061</v>
      </c>
      <c r="D840" s="727">
        <f t="shared" si="77"/>
        <v>0</v>
      </c>
      <c r="E840" s="780">
        <f t="shared" si="78"/>
        <v>0</v>
      </c>
      <c r="F840" s="780">
        <f t="shared" si="71"/>
        <v>0</v>
      </c>
      <c r="G840" s="727">
        <f t="shared" si="72"/>
        <v>0</v>
      </c>
      <c r="H840" s="785">
        <f>+J791*G840+E840</f>
        <v>0</v>
      </c>
      <c r="I840" s="786">
        <f>+J792*G840+E840</f>
        <v>0</v>
      </c>
      <c r="J840" s="783">
        <f t="shared" si="73"/>
        <v>0</v>
      </c>
      <c r="K840" s="783"/>
      <c r="L840" s="1304"/>
      <c r="M840" s="783">
        <f t="shared" si="74"/>
        <v>0</v>
      </c>
      <c r="N840" s="1304"/>
      <c r="O840" s="783">
        <f t="shared" si="75"/>
        <v>0</v>
      </c>
      <c r="P840" s="783">
        <f t="shared" si="76"/>
        <v>0</v>
      </c>
    </row>
    <row r="841" spans="3:16">
      <c r="C841" s="779">
        <f>IF(D790="","-",+C840+1)</f>
        <v>2062</v>
      </c>
      <c r="D841" s="727">
        <f t="shared" si="77"/>
        <v>0</v>
      </c>
      <c r="E841" s="780">
        <f t="shared" si="78"/>
        <v>0</v>
      </c>
      <c r="F841" s="780">
        <f t="shared" si="71"/>
        <v>0</v>
      </c>
      <c r="G841" s="727">
        <f t="shared" si="72"/>
        <v>0</v>
      </c>
      <c r="H841" s="785">
        <f>+J791*G841+E841</f>
        <v>0</v>
      </c>
      <c r="I841" s="786">
        <f>+J792*G841+E841</f>
        <v>0</v>
      </c>
      <c r="J841" s="783">
        <f t="shared" si="73"/>
        <v>0</v>
      </c>
      <c r="K841" s="783"/>
      <c r="L841" s="1304"/>
      <c r="M841" s="783">
        <f t="shared" si="74"/>
        <v>0</v>
      </c>
      <c r="N841" s="1304"/>
      <c r="O841" s="783">
        <f t="shared" si="75"/>
        <v>0</v>
      </c>
      <c r="P841" s="783">
        <f t="shared" si="76"/>
        <v>0</v>
      </c>
    </row>
    <row r="842" spans="3:16">
      <c r="C842" s="779">
        <f>IF(D790="","-",+C841+1)</f>
        <v>2063</v>
      </c>
      <c r="D842" s="727">
        <f t="shared" si="77"/>
        <v>0</v>
      </c>
      <c r="E842" s="780">
        <f t="shared" si="78"/>
        <v>0</v>
      </c>
      <c r="F842" s="780">
        <f t="shared" si="71"/>
        <v>0</v>
      </c>
      <c r="G842" s="727">
        <f t="shared" si="72"/>
        <v>0</v>
      </c>
      <c r="H842" s="785">
        <f>+J791*G842+E842</f>
        <v>0</v>
      </c>
      <c r="I842" s="786">
        <f>+J792*G842+E842</f>
        <v>0</v>
      </c>
      <c r="J842" s="783">
        <f t="shared" si="73"/>
        <v>0</v>
      </c>
      <c r="K842" s="783"/>
      <c r="L842" s="1304"/>
      <c r="M842" s="783">
        <f t="shared" si="74"/>
        <v>0</v>
      </c>
      <c r="N842" s="1304"/>
      <c r="O842" s="783">
        <f t="shared" si="75"/>
        <v>0</v>
      </c>
      <c r="P842" s="783">
        <f t="shared" si="76"/>
        <v>0</v>
      </c>
    </row>
    <row r="843" spans="3:16">
      <c r="C843" s="779">
        <f>IF(D790="","-",+C842+1)</f>
        <v>2064</v>
      </c>
      <c r="D843" s="727">
        <f t="shared" si="77"/>
        <v>0</v>
      </c>
      <c r="E843" s="780">
        <f t="shared" si="78"/>
        <v>0</v>
      </c>
      <c r="F843" s="780">
        <f t="shared" si="71"/>
        <v>0</v>
      </c>
      <c r="G843" s="727">
        <f t="shared" si="72"/>
        <v>0</v>
      </c>
      <c r="H843" s="785">
        <f>+J791*G843+E843</f>
        <v>0</v>
      </c>
      <c r="I843" s="786">
        <f>+J792*G843+E843</f>
        <v>0</v>
      </c>
      <c r="J843" s="783">
        <f t="shared" si="73"/>
        <v>0</v>
      </c>
      <c r="K843" s="783"/>
      <c r="L843" s="1304"/>
      <c r="M843" s="783">
        <f t="shared" si="74"/>
        <v>0</v>
      </c>
      <c r="N843" s="1304"/>
      <c r="O843" s="783">
        <f t="shared" si="75"/>
        <v>0</v>
      </c>
      <c r="P843" s="783">
        <f t="shared" si="76"/>
        <v>0</v>
      </c>
    </row>
    <row r="844" spans="3:16">
      <c r="C844" s="779">
        <f>IF(D790="","-",+C843+1)</f>
        <v>2065</v>
      </c>
      <c r="D844" s="727">
        <f t="shared" si="77"/>
        <v>0</v>
      </c>
      <c r="E844" s="780">
        <f t="shared" si="78"/>
        <v>0</v>
      </c>
      <c r="F844" s="780">
        <f t="shared" si="71"/>
        <v>0</v>
      </c>
      <c r="G844" s="727">
        <f t="shared" si="72"/>
        <v>0</v>
      </c>
      <c r="H844" s="785">
        <f>+J791*G844+E844</f>
        <v>0</v>
      </c>
      <c r="I844" s="786">
        <f>+J792*G844+E844</f>
        <v>0</v>
      </c>
      <c r="J844" s="783">
        <f t="shared" si="73"/>
        <v>0</v>
      </c>
      <c r="K844" s="783"/>
      <c r="L844" s="1304"/>
      <c r="M844" s="783">
        <f t="shared" si="74"/>
        <v>0</v>
      </c>
      <c r="N844" s="1304"/>
      <c r="O844" s="783">
        <f t="shared" si="75"/>
        <v>0</v>
      </c>
      <c r="P844" s="783">
        <f t="shared" si="76"/>
        <v>0</v>
      </c>
    </row>
    <row r="845" spans="3:16">
      <c r="C845" s="779">
        <f>IF(D790="","-",+C844+1)</f>
        <v>2066</v>
      </c>
      <c r="D845" s="727">
        <f t="shared" si="77"/>
        <v>0</v>
      </c>
      <c r="E845" s="780">
        <f t="shared" si="78"/>
        <v>0</v>
      </c>
      <c r="F845" s="780">
        <f t="shared" si="71"/>
        <v>0</v>
      </c>
      <c r="G845" s="727">
        <f t="shared" si="72"/>
        <v>0</v>
      </c>
      <c r="H845" s="785">
        <f>+J791*G845+E845</f>
        <v>0</v>
      </c>
      <c r="I845" s="786">
        <f>+J792*G845+E845</f>
        <v>0</v>
      </c>
      <c r="J845" s="783">
        <f t="shared" si="73"/>
        <v>0</v>
      </c>
      <c r="K845" s="783"/>
      <c r="L845" s="1304"/>
      <c r="M845" s="783">
        <f t="shared" si="74"/>
        <v>0</v>
      </c>
      <c r="N845" s="1304"/>
      <c r="O845" s="783">
        <f t="shared" si="75"/>
        <v>0</v>
      </c>
      <c r="P845" s="783">
        <f t="shared" si="76"/>
        <v>0</v>
      </c>
    </row>
    <row r="846" spans="3:16">
      <c r="C846" s="779">
        <f>IF(D790="","-",+C845+1)</f>
        <v>2067</v>
      </c>
      <c r="D846" s="727">
        <f t="shared" si="77"/>
        <v>0</v>
      </c>
      <c r="E846" s="780">
        <f t="shared" si="78"/>
        <v>0</v>
      </c>
      <c r="F846" s="780">
        <f t="shared" si="71"/>
        <v>0</v>
      </c>
      <c r="G846" s="727">
        <f t="shared" si="72"/>
        <v>0</v>
      </c>
      <c r="H846" s="785">
        <f>+J791*G846+E846</f>
        <v>0</v>
      </c>
      <c r="I846" s="786">
        <f>+J792*G846+E846</f>
        <v>0</v>
      </c>
      <c r="J846" s="783">
        <f t="shared" si="73"/>
        <v>0</v>
      </c>
      <c r="K846" s="783"/>
      <c r="L846" s="1304"/>
      <c r="M846" s="783">
        <f t="shared" si="74"/>
        <v>0</v>
      </c>
      <c r="N846" s="1304"/>
      <c r="O846" s="783">
        <f t="shared" si="75"/>
        <v>0</v>
      </c>
      <c r="P846" s="783">
        <f t="shared" si="76"/>
        <v>0</v>
      </c>
    </row>
    <row r="847" spans="3:16">
      <c r="C847" s="779">
        <f>IF(D790="","-",+C846+1)</f>
        <v>2068</v>
      </c>
      <c r="D847" s="727">
        <f t="shared" si="77"/>
        <v>0</v>
      </c>
      <c r="E847" s="780">
        <f t="shared" si="78"/>
        <v>0</v>
      </c>
      <c r="F847" s="780">
        <f t="shared" si="71"/>
        <v>0</v>
      </c>
      <c r="G847" s="727">
        <f t="shared" si="72"/>
        <v>0</v>
      </c>
      <c r="H847" s="785">
        <f>+J791*G847+E847</f>
        <v>0</v>
      </c>
      <c r="I847" s="786">
        <f>+J792*G847+E847</f>
        <v>0</v>
      </c>
      <c r="J847" s="783">
        <f t="shared" si="73"/>
        <v>0</v>
      </c>
      <c r="K847" s="783"/>
      <c r="L847" s="1304"/>
      <c r="M847" s="783">
        <f t="shared" si="74"/>
        <v>0</v>
      </c>
      <c r="N847" s="1304"/>
      <c r="O847" s="783">
        <f t="shared" si="75"/>
        <v>0</v>
      </c>
      <c r="P847" s="783">
        <f t="shared" si="76"/>
        <v>0</v>
      </c>
    </row>
    <row r="848" spans="3:16">
      <c r="C848" s="779">
        <f>IF(D790="","-",+C847+1)</f>
        <v>2069</v>
      </c>
      <c r="D848" s="727">
        <f t="shared" si="77"/>
        <v>0</v>
      </c>
      <c r="E848" s="780">
        <f t="shared" si="78"/>
        <v>0</v>
      </c>
      <c r="F848" s="780">
        <f t="shared" si="71"/>
        <v>0</v>
      </c>
      <c r="G848" s="727">
        <f t="shared" si="72"/>
        <v>0</v>
      </c>
      <c r="H848" s="785">
        <f>+J791*G848+E848</f>
        <v>0</v>
      </c>
      <c r="I848" s="786">
        <f>+J792*G848+E848</f>
        <v>0</v>
      </c>
      <c r="J848" s="783">
        <f t="shared" si="73"/>
        <v>0</v>
      </c>
      <c r="K848" s="783"/>
      <c r="L848" s="1304"/>
      <c r="M848" s="783">
        <f t="shared" si="74"/>
        <v>0</v>
      </c>
      <c r="N848" s="1304"/>
      <c r="O848" s="783">
        <f t="shared" si="75"/>
        <v>0</v>
      </c>
      <c r="P848" s="783">
        <f t="shared" si="76"/>
        <v>0</v>
      </c>
    </row>
    <row r="849" spans="1:17">
      <c r="C849" s="779">
        <f>IF(D790="","-",+C848+1)</f>
        <v>2070</v>
      </c>
      <c r="D849" s="727">
        <f t="shared" si="77"/>
        <v>0</v>
      </c>
      <c r="E849" s="780">
        <f t="shared" si="78"/>
        <v>0</v>
      </c>
      <c r="F849" s="780">
        <f t="shared" si="71"/>
        <v>0</v>
      </c>
      <c r="G849" s="727">
        <f t="shared" si="72"/>
        <v>0</v>
      </c>
      <c r="H849" s="785">
        <f>+J791*G849+E849</f>
        <v>0</v>
      </c>
      <c r="I849" s="786">
        <f>+J792*G849+E849</f>
        <v>0</v>
      </c>
      <c r="J849" s="783">
        <f t="shared" si="73"/>
        <v>0</v>
      </c>
      <c r="K849" s="783"/>
      <c r="L849" s="1304"/>
      <c r="M849" s="783">
        <f t="shared" si="74"/>
        <v>0</v>
      </c>
      <c r="N849" s="1304"/>
      <c r="O849" s="783">
        <f t="shared" si="75"/>
        <v>0</v>
      </c>
      <c r="P849" s="783">
        <f t="shared" si="76"/>
        <v>0</v>
      </c>
    </row>
    <row r="850" spans="1:17">
      <c r="C850" s="779">
        <f>IF(D790="","-",+C849+1)</f>
        <v>2071</v>
      </c>
      <c r="D850" s="727">
        <f t="shared" si="77"/>
        <v>0</v>
      </c>
      <c r="E850" s="780">
        <f t="shared" si="78"/>
        <v>0</v>
      </c>
      <c r="F850" s="780">
        <f t="shared" si="71"/>
        <v>0</v>
      </c>
      <c r="G850" s="727">
        <f t="shared" si="72"/>
        <v>0</v>
      </c>
      <c r="H850" s="785">
        <f>+J791*G850+E850</f>
        <v>0</v>
      </c>
      <c r="I850" s="786">
        <f>+J792*G850+E850</f>
        <v>0</v>
      </c>
      <c r="J850" s="783">
        <f t="shared" si="73"/>
        <v>0</v>
      </c>
      <c r="K850" s="783"/>
      <c r="L850" s="1304"/>
      <c r="M850" s="783">
        <f t="shared" si="74"/>
        <v>0</v>
      </c>
      <c r="N850" s="1304"/>
      <c r="O850" s="783">
        <f t="shared" si="75"/>
        <v>0</v>
      </c>
      <c r="P850" s="783">
        <f t="shared" si="76"/>
        <v>0</v>
      </c>
    </row>
    <row r="851" spans="1:17">
      <c r="C851" s="779">
        <f>IF(D790="","-",+C850+1)</f>
        <v>2072</v>
      </c>
      <c r="D851" s="727">
        <f t="shared" si="77"/>
        <v>0</v>
      </c>
      <c r="E851" s="780">
        <f t="shared" si="78"/>
        <v>0</v>
      </c>
      <c r="F851" s="780">
        <f t="shared" si="71"/>
        <v>0</v>
      </c>
      <c r="G851" s="727">
        <f t="shared" si="72"/>
        <v>0</v>
      </c>
      <c r="H851" s="785">
        <f>+J791*G851+E851</f>
        <v>0</v>
      </c>
      <c r="I851" s="786">
        <f>+J792*G851+E851</f>
        <v>0</v>
      </c>
      <c r="J851" s="783">
        <f t="shared" si="73"/>
        <v>0</v>
      </c>
      <c r="K851" s="783"/>
      <c r="L851" s="1304"/>
      <c r="M851" s="783">
        <f t="shared" si="74"/>
        <v>0</v>
      </c>
      <c r="N851" s="1304"/>
      <c r="O851" s="783">
        <f t="shared" si="75"/>
        <v>0</v>
      </c>
      <c r="P851" s="783">
        <f t="shared" si="76"/>
        <v>0</v>
      </c>
    </row>
    <row r="852" spans="1:17">
      <c r="C852" s="779">
        <f>IF(D790="","-",+C851+1)</f>
        <v>2073</v>
      </c>
      <c r="D852" s="727">
        <f t="shared" si="77"/>
        <v>0</v>
      </c>
      <c r="E852" s="780">
        <f t="shared" si="78"/>
        <v>0</v>
      </c>
      <c r="F852" s="780">
        <f t="shared" si="71"/>
        <v>0</v>
      </c>
      <c r="G852" s="727">
        <f t="shared" si="72"/>
        <v>0</v>
      </c>
      <c r="H852" s="785">
        <f>+J791*G852+E852</f>
        <v>0</v>
      </c>
      <c r="I852" s="786">
        <f>+J792*G852+E852</f>
        <v>0</v>
      </c>
      <c r="J852" s="783">
        <f t="shared" si="73"/>
        <v>0</v>
      </c>
      <c r="K852" s="783"/>
      <c r="L852" s="1304"/>
      <c r="M852" s="783">
        <f t="shared" si="74"/>
        <v>0</v>
      </c>
      <c r="N852" s="1304"/>
      <c r="O852" s="783">
        <f t="shared" si="75"/>
        <v>0</v>
      </c>
      <c r="P852" s="783">
        <f t="shared" si="76"/>
        <v>0</v>
      </c>
    </row>
    <row r="853" spans="1:17">
      <c r="C853" s="779">
        <f>IF(D790="","-",+C852+1)</f>
        <v>2074</v>
      </c>
      <c r="D853" s="727">
        <f t="shared" si="77"/>
        <v>0</v>
      </c>
      <c r="E853" s="780">
        <f t="shared" si="78"/>
        <v>0</v>
      </c>
      <c r="F853" s="780">
        <f t="shared" si="71"/>
        <v>0</v>
      </c>
      <c r="G853" s="727">
        <f t="shared" si="72"/>
        <v>0</v>
      </c>
      <c r="H853" s="785">
        <f>+J791*G853+E853</f>
        <v>0</v>
      </c>
      <c r="I853" s="786">
        <f>+J792*G853+E853</f>
        <v>0</v>
      </c>
      <c r="J853" s="783">
        <f t="shared" si="73"/>
        <v>0</v>
      </c>
      <c r="K853" s="783"/>
      <c r="L853" s="1304"/>
      <c r="M853" s="783">
        <f t="shared" si="74"/>
        <v>0</v>
      </c>
      <c r="N853" s="1304"/>
      <c r="O853" s="783">
        <f t="shared" si="75"/>
        <v>0</v>
      </c>
      <c r="P853" s="783">
        <f t="shared" si="76"/>
        <v>0</v>
      </c>
    </row>
    <row r="854" spans="1:17">
      <c r="C854" s="779">
        <f>IF(D790="","-",+C853+1)</f>
        <v>2075</v>
      </c>
      <c r="D854" s="727">
        <f t="shared" si="77"/>
        <v>0</v>
      </c>
      <c r="E854" s="780">
        <f t="shared" si="78"/>
        <v>0</v>
      </c>
      <c r="F854" s="780">
        <f t="shared" si="71"/>
        <v>0</v>
      </c>
      <c r="G854" s="727">
        <f t="shared" si="72"/>
        <v>0</v>
      </c>
      <c r="H854" s="785">
        <f>+J791*G854+E854</f>
        <v>0</v>
      </c>
      <c r="I854" s="786">
        <f>+J792*G854+E854</f>
        <v>0</v>
      </c>
      <c r="J854" s="783">
        <f t="shared" si="73"/>
        <v>0</v>
      </c>
      <c r="K854" s="783"/>
      <c r="L854" s="1304"/>
      <c r="M854" s="783">
        <f t="shared" si="74"/>
        <v>0</v>
      </c>
      <c r="N854" s="1304"/>
      <c r="O854" s="783">
        <f t="shared" si="75"/>
        <v>0</v>
      </c>
      <c r="P854" s="783">
        <f t="shared" si="76"/>
        <v>0</v>
      </c>
    </row>
    <row r="855" spans="1:17" ht="13.5" thickBot="1">
      <c r="C855" s="789">
        <f>IF(D790="","-",+C854+1)</f>
        <v>2076</v>
      </c>
      <c r="D855" s="790">
        <f t="shared" si="77"/>
        <v>0</v>
      </c>
      <c r="E855" s="791">
        <f t="shared" si="78"/>
        <v>0</v>
      </c>
      <c r="F855" s="791">
        <f t="shared" si="71"/>
        <v>0</v>
      </c>
      <c r="G855" s="790">
        <f t="shared" si="72"/>
        <v>0</v>
      </c>
      <c r="H855" s="792">
        <f>+J791*G855+E855</f>
        <v>0</v>
      </c>
      <c r="I855" s="792">
        <f>+J792*G855+E855</f>
        <v>0</v>
      </c>
      <c r="J855" s="793">
        <f t="shared" si="73"/>
        <v>0</v>
      </c>
      <c r="K855" s="783"/>
      <c r="L855" s="1305"/>
      <c r="M855" s="793">
        <f t="shared" si="74"/>
        <v>0</v>
      </c>
      <c r="N855" s="1305"/>
      <c r="O855" s="793">
        <f t="shared" si="75"/>
        <v>0</v>
      </c>
      <c r="P855" s="793">
        <f t="shared" si="76"/>
        <v>0</v>
      </c>
    </row>
    <row r="856" spans="1:17">
      <c r="C856" s="727" t="s">
        <v>93</v>
      </c>
      <c r="D856" s="721"/>
      <c r="E856" s="721">
        <f>SUM(E796:E855)</f>
        <v>32382268.41</v>
      </c>
      <c r="F856" s="721"/>
      <c r="G856" s="721"/>
      <c r="H856" s="721">
        <f>SUM(H796:H855)</f>
        <v>101812702.57858811</v>
      </c>
      <c r="I856" s="721">
        <f>SUM(I796:I855)</f>
        <v>101812702.57858811</v>
      </c>
      <c r="J856" s="721">
        <f>SUM(J796:J855)</f>
        <v>0</v>
      </c>
      <c r="K856" s="721"/>
      <c r="L856" s="721"/>
      <c r="M856" s="721"/>
      <c r="N856" s="721"/>
      <c r="O856" s="721"/>
    </row>
    <row r="857" spans="1:17">
      <c r="D857" s="529"/>
      <c r="E857" s="308"/>
      <c r="F857" s="308"/>
      <c r="G857" s="308"/>
      <c r="H857" s="308"/>
      <c r="I857" s="699"/>
      <c r="J857" s="699"/>
      <c r="K857" s="721"/>
      <c r="L857" s="699"/>
      <c r="M857" s="699"/>
      <c r="N857" s="699"/>
      <c r="O857" s="699"/>
    </row>
    <row r="858" spans="1:17">
      <c r="C858" s="308" t="s">
        <v>15</v>
      </c>
      <c r="D858" s="529"/>
      <c r="E858" s="308"/>
      <c r="F858" s="308"/>
      <c r="G858" s="308"/>
      <c r="H858" s="308"/>
      <c r="I858" s="699"/>
      <c r="J858" s="699"/>
      <c r="K858" s="721"/>
      <c r="L858" s="699"/>
      <c r="M858" s="699"/>
      <c r="N858" s="699"/>
      <c r="O858" s="699"/>
    </row>
    <row r="859" spans="1:17">
      <c r="C859" s="308"/>
      <c r="D859" s="529"/>
      <c r="E859" s="308"/>
      <c r="F859" s="308"/>
      <c r="G859" s="308"/>
      <c r="H859" s="308"/>
      <c r="I859" s="699"/>
      <c r="J859" s="699"/>
      <c r="K859" s="721"/>
      <c r="L859" s="699"/>
      <c r="M859" s="699"/>
      <c r="N859" s="699"/>
      <c r="O859" s="699"/>
    </row>
    <row r="860" spans="1:17">
      <c r="C860" s="740" t="s">
        <v>16</v>
      </c>
      <c r="D860" s="727"/>
      <c r="E860" s="727"/>
      <c r="F860" s="727"/>
      <c r="G860" s="727"/>
      <c r="H860" s="721"/>
      <c r="I860" s="721"/>
      <c r="J860" s="795"/>
      <c r="K860" s="795"/>
      <c r="L860" s="795"/>
      <c r="M860" s="795"/>
      <c r="N860" s="795"/>
      <c r="O860" s="795"/>
    </row>
    <row r="861" spans="1:17">
      <c r="C861" s="726" t="s">
        <v>273</v>
      </c>
      <c r="D861" s="727"/>
      <c r="E861" s="727"/>
      <c r="F861" s="727"/>
      <c r="G861" s="727"/>
      <c r="H861" s="721"/>
      <c r="I861" s="721"/>
      <c r="J861" s="795"/>
      <c r="K861" s="795"/>
      <c r="L861" s="795"/>
      <c r="M861" s="795"/>
      <c r="N861" s="795"/>
      <c r="O861" s="795"/>
    </row>
    <row r="862" spans="1:17">
      <c r="C862" s="726" t="s">
        <v>94</v>
      </c>
      <c r="D862" s="727"/>
      <c r="E862" s="727"/>
      <c r="F862" s="727"/>
      <c r="G862" s="727"/>
      <c r="H862" s="721"/>
      <c r="I862" s="721"/>
      <c r="J862" s="795"/>
      <c r="K862" s="795"/>
      <c r="L862" s="795"/>
      <c r="M862" s="795"/>
      <c r="N862" s="795"/>
      <c r="O862" s="795"/>
    </row>
    <row r="863" spans="1:17">
      <c r="C863" s="726"/>
      <c r="D863" s="727"/>
      <c r="E863" s="727"/>
      <c r="F863" s="727"/>
      <c r="G863" s="727"/>
      <c r="H863" s="721"/>
      <c r="I863" s="721"/>
      <c r="J863" s="795"/>
      <c r="K863" s="795"/>
      <c r="L863" s="795"/>
      <c r="M863" s="795"/>
      <c r="N863" s="795"/>
      <c r="O863" s="795"/>
    </row>
    <row r="864" spans="1:17" ht="20.25">
      <c r="A864" s="728" t="str">
        <f>""&amp;A783&amp;" Worksheet K -  ATRR TRUE-UP Calculation for PJM Projects Charged to Benefiting Zones"</f>
        <v xml:space="preserve"> Worksheet K -  ATRR TRUE-UP Calculation for PJM Projects Charged to Benefiting Zones</v>
      </c>
      <c r="B864" s="341"/>
      <c r="C864" s="716"/>
      <c r="D864" s="529"/>
      <c r="E864" s="308"/>
      <c r="F864" s="698"/>
      <c r="G864" s="698"/>
      <c r="H864" s="308"/>
      <c r="I864" s="699"/>
      <c r="L864" s="555"/>
      <c r="M864" s="555"/>
      <c r="N864" s="555"/>
      <c r="O864" s="644" t="str">
        <f>"Page "&amp;SUM(Q$8:Q864)&amp;" of "</f>
        <v xml:space="preserve">Page 10 of </v>
      </c>
      <c r="P864" s="645">
        <f>COUNT(Q$8:Q$56657)</f>
        <v>10</v>
      </c>
      <c r="Q864" s="172">
        <v>1</v>
      </c>
    </row>
    <row r="865" spans="1:16">
      <c r="B865" s="341"/>
      <c r="C865" s="308"/>
      <c r="D865" s="529"/>
      <c r="E865" s="308"/>
      <c r="F865" s="308"/>
      <c r="G865" s="308"/>
      <c r="H865" s="308"/>
      <c r="I865" s="699"/>
      <c r="J865" s="308"/>
      <c r="K865" s="418"/>
    </row>
    <row r="866" spans="1:16" ht="18">
      <c r="B866" s="648" t="s">
        <v>474</v>
      </c>
      <c r="C866" s="730" t="s">
        <v>95</v>
      </c>
      <c r="D866" s="529"/>
      <c r="E866" s="308"/>
      <c r="F866" s="308"/>
      <c r="G866" s="308"/>
      <c r="H866" s="308"/>
      <c r="I866" s="699"/>
      <c r="J866" s="699"/>
      <c r="K866" s="721"/>
      <c r="L866" s="699"/>
      <c r="M866" s="699"/>
      <c r="N866" s="699"/>
      <c r="O866" s="699"/>
    </row>
    <row r="867" spans="1:16" ht="18.75">
      <c r="B867" s="648"/>
      <c r="C867" s="647"/>
      <c r="D867" s="529"/>
      <c r="E867" s="308"/>
      <c r="F867" s="308"/>
      <c r="G867" s="308"/>
      <c r="H867" s="308"/>
      <c r="I867" s="699"/>
      <c r="J867" s="699"/>
      <c r="K867" s="721"/>
      <c r="L867" s="699"/>
      <c r="M867" s="699"/>
      <c r="N867" s="699"/>
      <c r="O867" s="699"/>
    </row>
    <row r="868" spans="1:16" ht="18.75">
      <c r="B868" s="648"/>
      <c r="C868" s="647" t="s">
        <v>96</v>
      </c>
      <c r="D868" s="529"/>
      <c r="E868" s="308"/>
      <c r="F868" s="308"/>
      <c r="G868" s="308"/>
      <c r="H868" s="308"/>
      <c r="I868" s="699"/>
      <c r="J868" s="699"/>
      <c r="K868" s="721"/>
      <c r="L868" s="699"/>
      <c r="M868" s="699"/>
      <c r="N868" s="699"/>
      <c r="O868" s="699"/>
    </row>
    <row r="869" spans="1:16" ht="15.75" thickBot="1">
      <c r="C869" s="239"/>
      <c r="D869" s="529"/>
      <c r="E869" s="308"/>
      <c r="F869" s="308"/>
      <c r="G869" s="308"/>
      <c r="H869" s="308"/>
      <c r="I869" s="699"/>
      <c r="J869" s="699"/>
      <c r="K869" s="721"/>
      <c r="L869" s="699"/>
      <c r="M869" s="699"/>
      <c r="N869" s="699"/>
      <c r="O869" s="699"/>
    </row>
    <row r="870" spans="1:16" ht="15.75">
      <c r="C870" s="650" t="s">
        <v>97</v>
      </c>
      <c r="D870" s="529"/>
      <c r="E870" s="308"/>
      <c r="F870" s="308"/>
      <c r="G870" s="308"/>
      <c r="H870" s="797"/>
      <c r="I870" s="308" t="s">
        <v>76</v>
      </c>
      <c r="J870" s="308"/>
      <c r="K870" s="418"/>
      <c r="L870" s="826">
        <f>+J876</f>
        <v>2022</v>
      </c>
      <c r="M870" s="807" t="s">
        <v>54</v>
      </c>
      <c r="N870" s="807" t="s">
        <v>55</v>
      </c>
      <c r="O870" s="808" t="s">
        <v>57</v>
      </c>
    </row>
    <row r="871" spans="1:16" ht="15.75">
      <c r="C871" s="650"/>
      <c r="D871" s="529"/>
      <c r="E871" s="308"/>
      <c r="F871" s="308"/>
      <c r="H871" s="308"/>
      <c r="I871" s="735"/>
      <c r="J871" s="735"/>
      <c r="K871" s="736"/>
      <c r="L871" s="827" t="s">
        <v>245</v>
      </c>
      <c r="M871" s="828">
        <f>VLOOKUP(J876,C883:P942,10)</f>
        <v>1034327.9321963114</v>
      </c>
      <c r="N871" s="828">
        <f>VLOOKUP(J876,C883:P942,12)</f>
        <v>1034327.9321963114</v>
      </c>
      <c r="O871" s="829">
        <f>+N871-M871</f>
        <v>0</v>
      </c>
    </row>
    <row r="872" spans="1:16">
      <c r="A872" s="1331"/>
      <c r="C872" s="740" t="s">
        <v>98</v>
      </c>
      <c r="D872" s="1553" t="s">
        <v>857</v>
      </c>
      <c r="E872" s="1553"/>
      <c r="F872" s="1553"/>
      <c r="G872" s="1553"/>
      <c r="H872" s="1553"/>
      <c r="I872" s="1553"/>
      <c r="J872" s="699"/>
      <c r="K872" s="721"/>
      <c r="L872" s="827" t="s">
        <v>246</v>
      </c>
      <c r="M872" s="830">
        <f>VLOOKUP(J876,C883:P942,6)</f>
        <v>1038512.8747640603</v>
      </c>
      <c r="N872" s="830">
        <f>VLOOKUP(J876,C883:P942,7)</f>
        <v>1038512.8747640603</v>
      </c>
      <c r="O872" s="831">
        <f>+N872-M872</f>
        <v>0</v>
      </c>
    </row>
    <row r="873" spans="1:16" ht="13.5" thickBot="1">
      <c r="C873" s="744"/>
      <c r="D873" s="1553"/>
      <c r="E873" s="1553"/>
      <c r="F873" s="1553"/>
      <c r="G873" s="1553"/>
      <c r="H873" s="1553"/>
      <c r="I873" s="1553"/>
      <c r="J873" s="699"/>
      <c r="K873" s="721"/>
      <c r="L873" s="763" t="s">
        <v>247</v>
      </c>
      <c r="M873" s="832">
        <f>+M872-M871</f>
        <v>4184.9425677488325</v>
      </c>
      <c r="N873" s="832">
        <f>+N872-N871</f>
        <v>4184.9425677488325</v>
      </c>
      <c r="O873" s="833">
        <f>+O872-O871</f>
        <v>0</v>
      </c>
    </row>
    <row r="874" spans="1:16" ht="13.5" thickBot="1">
      <c r="C874" s="747"/>
      <c r="D874" s="748"/>
      <c r="E874" s="746"/>
      <c r="F874" s="746"/>
      <c r="G874" s="746"/>
      <c r="H874" s="746"/>
      <c r="I874" s="746"/>
      <c r="J874" s="746"/>
      <c r="K874" s="749"/>
      <c r="L874" s="746"/>
      <c r="M874" s="746"/>
      <c r="N874" s="746"/>
      <c r="O874" s="746"/>
      <c r="P874" s="341"/>
    </row>
    <row r="875" spans="1:16" ht="13.5" thickBot="1">
      <c r="C875" s="750" t="s">
        <v>99</v>
      </c>
      <c r="D875" s="751"/>
      <c r="E875" s="751"/>
      <c r="F875" s="751"/>
      <c r="G875" s="751"/>
      <c r="H875" s="751"/>
      <c r="I875" s="751"/>
      <c r="J875" s="751"/>
      <c r="K875" s="753"/>
      <c r="P875" s="754"/>
    </row>
    <row r="876" spans="1:16" ht="15">
      <c r="C876" s="755" t="s">
        <v>77</v>
      </c>
      <c r="D876" s="799">
        <v>8427427.9900000002</v>
      </c>
      <c r="E876" s="716" t="s">
        <v>78</v>
      </c>
      <c r="H876" s="756"/>
      <c r="I876" s="756"/>
      <c r="J876" s="757">
        <f>$J$93</f>
        <v>2022</v>
      </c>
      <c r="K876" s="545"/>
      <c r="L876" s="1554" t="s">
        <v>79</v>
      </c>
      <c r="M876" s="1554"/>
      <c r="N876" s="1554"/>
      <c r="O876" s="1554"/>
      <c r="P876" s="418"/>
    </row>
    <row r="877" spans="1:16">
      <c r="C877" s="755" t="s">
        <v>80</v>
      </c>
      <c r="D877" s="1301">
        <v>2016</v>
      </c>
      <c r="E877" s="755" t="s">
        <v>81</v>
      </c>
      <c r="F877" s="756"/>
      <c r="G877" s="756"/>
      <c r="I877" s="172"/>
      <c r="J877" s="801">
        <f>IF(H870="",0,$F$17)</f>
        <v>0</v>
      </c>
      <c r="K877" s="758"/>
      <c r="L877" s="721" t="s">
        <v>287</v>
      </c>
      <c r="P877" s="418"/>
    </row>
    <row r="878" spans="1:16">
      <c r="C878" s="755" t="s">
        <v>82</v>
      </c>
      <c r="D878" s="799">
        <v>5</v>
      </c>
      <c r="E878" s="755" t="s">
        <v>83</v>
      </c>
      <c r="F878" s="756"/>
      <c r="G878" s="756"/>
      <c r="I878" s="172"/>
      <c r="J878" s="759">
        <f>$F$70</f>
        <v>0.11486185889303469</v>
      </c>
      <c r="K878" s="760"/>
      <c r="L878" s="308" t="str">
        <f>"          INPUT TRUE-UP ARR (WITH &amp; WITHOUT INCENTIVES) FROM EACH PRIOR YEAR"</f>
        <v xml:space="preserve">          INPUT TRUE-UP ARR (WITH &amp; WITHOUT INCENTIVES) FROM EACH PRIOR YEAR</v>
      </c>
      <c r="P878" s="418"/>
    </row>
    <row r="879" spans="1:16">
      <c r="C879" s="755" t="s">
        <v>84</v>
      </c>
      <c r="D879" s="761">
        <f>H$79</f>
        <v>36</v>
      </c>
      <c r="E879" s="755" t="s">
        <v>85</v>
      </c>
      <c r="F879" s="756"/>
      <c r="G879" s="756"/>
      <c r="I879" s="172"/>
      <c r="J879" s="759">
        <f>IF(H870="",+J878,$F$69)</f>
        <v>0.11486185889303469</v>
      </c>
      <c r="K879" s="762"/>
      <c r="L879" s="308" t="s">
        <v>167</v>
      </c>
      <c r="M879" s="762"/>
      <c r="N879" s="762"/>
      <c r="O879" s="762"/>
      <c r="P879" s="418"/>
    </row>
    <row r="880" spans="1:16" ht="13.5" thickBot="1">
      <c r="C880" s="755" t="s">
        <v>86</v>
      </c>
      <c r="D880" s="1322" t="s">
        <v>814</v>
      </c>
      <c r="E880" s="763" t="s">
        <v>87</v>
      </c>
      <c r="F880" s="764"/>
      <c r="G880" s="764"/>
      <c r="H880" s="765"/>
      <c r="I880" s="765"/>
      <c r="J880" s="743">
        <f>IF(D876=0,0,D876/D879)</f>
        <v>234095.22194444446</v>
      </c>
      <c r="K880" s="721"/>
      <c r="L880" s="721" t="s">
        <v>168</v>
      </c>
      <c r="M880" s="721"/>
      <c r="N880" s="721"/>
      <c r="O880" s="721"/>
      <c r="P880" s="418"/>
    </row>
    <row r="881" spans="2:16" ht="38.25">
      <c r="B881" s="836"/>
      <c r="C881" s="766" t="s">
        <v>77</v>
      </c>
      <c r="D881" s="767" t="s">
        <v>88</v>
      </c>
      <c r="E881" s="768" t="s">
        <v>89</v>
      </c>
      <c r="F881" s="767" t="s">
        <v>90</v>
      </c>
      <c r="G881" s="767" t="s">
        <v>248</v>
      </c>
      <c r="H881" s="768" t="s">
        <v>161</v>
      </c>
      <c r="I881" s="769" t="s">
        <v>161</v>
      </c>
      <c r="J881" s="766" t="s">
        <v>100</v>
      </c>
      <c r="K881" s="770"/>
      <c r="L881" s="768" t="s">
        <v>163</v>
      </c>
      <c r="M881" s="768" t="s">
        <v>169</v>
      </c>
      <c r="N881" s="768" t="s">
        <v>163</v>
      </c>
      <c r="O881" s="768" t="s">
        <v>171</v>
      </c>
      <c r="P881" s="768" t="s">
        <v>91</v>
      </c>
    </row>
    <row r="882" spans="2:16" ht="13.5" thickBot="1">
      <c r="C882" s="772" t="s">
        <v>477</v>
      </c>
      <c r="D882" s="773" t="s">
        <v>478</v>
      </c>
      <c r="E882" s="772" t="s">
        <v>371</v>
      </c>
      <c r="F882" s="773" t="s">
        <v>478</v>
      </c>
      <c r="G882" s="773" t="s">
        <v>478</v>
      </c>
      <c r="H882" s="774" t="s">
        <v>103</v>
      </c>
      <c r="I882" s="775" t="s">
        <v>105</v>
      </c>
      <c r="J882" s="776" t="s">
        <v>17</v>
      </c>
      <c r="K882" s="777"/>
      <c r="L882" s="774" t="s">
        <v>92</v>
      </c>
      <c r="M882" s="774" t="s">
        <v>92</v>
      </c>
      <c r="N882" s="774" t="s">
        <v>265</v>
      </c>
      <c r="O882" s="774" t="s">
        <v>265</v>
      </c>
      <c r="P882" s="774" t="s">
        <v>265</v>
      </c>
    </row>
    <row r="883" spans="2:16">
      <c r="C883" s="779">
        <f>IF(D877= "","-",D877)</f>
        <v>2016</v>
      </c>
      <c r="D883" s="727">
        <f>+D876</f>
        <v>8427427.9900000002</v>
      </c>
      <c r="E883" s="785">
        <f>+J880/12*(12-D878)</f>
        <v>136555.54613425929</v>
      </c>
      <c r="F883" s="834">
        <f t="shared" ref="F883:F942" si="79">+D883-E883</f>
        <v>8290872.4438657407</v>
      </c>
      <c r="G883" s="727">
        <f t="shared" ref="G883:G942" si="80">+(D883+F883)/2</f>
        <v>8359150.2169328704</v>
      </c>
      <c r="H883" s="781">
        <f>+J878*G883+E883</f>
        <v>1096703.0788172828</v>
      </c>
      <c r="I883" s="782">
        <f>+J879*G883+E883</f>
        <v>1096703.0788172828</v>
      </c>
      <c r="J883" s="783">
        <f t="shared" ref="J883:J942" si="81">+I883-H883</f>
        <v>0</v>
      </c>
      <c r="K883" s="783"/>
      <c r="L883" s="1303">
        <v>0</v>
      </c>
      <c r="M883" s="835">
        <f t="shared" ref="M883:M942" si="82">IF(L883&lt;&gt;0,+H883-L883,0)</f>
        <v>0</v>
      </c>
      <c r="N883" s="1303">
        <v>0</v>
      </c>
      <c r="O883" s="835">
        <f t="shared" ref="O883:O942" si="83">IF(N883&lt;&gt;0,+I883-N883,0)</f>
        <v>0</v>
      </c>
      <c r="P883" s="835">
        <f t="shared" ref="P883:P942" si="84">+O883-M883</f>
        <v>0</v>
      </c>
    </row>
    <row r="884" spans="2:16">
      <c r="C884" s="779">
        <f>IF(D877="","-",+C883+1)</f>
        <v>2017</v>
      </c>
      <c r="D884" s="1323">
        <f t="shared" ref="D884:D942" si="85">F883</f>
        <v>8290872.4438657407</v>
      </c>
      <c r="E884" s="780">
        <f>IF(D884&gt;$J$880,$J$880,D884)</f>
        <v>234095.22194444446</v>
      </c>
      <c r="F884" s="780">
        <f t="shared" si="79"/>
        <v>8056777.2219212959</v>
      </c>
      <c r="G884" s="727">
        <f t="shared" si="80"/>
        <v>8173824.8328935187</v>
      </c>
      <c r="H884" s="785">
        <f>+J878*G884+E884</f>
        <v>1172955.9365166426</v>
      </c>
      <c r="I884" s="786">
        <f>+J879*G884+E884</f>
        <v>1172955.9365166426</v>
      </c>
      <c r="J884" s="783">
        <f t="shared" si="81"/>
        <v>0</v>
      </c>
      <c r="K884" s="783"/>
      <c r="L884" s="1304">
        <v>0</v>
      </c>
      <c r="M884" s="783">
        <f t="shared" si="82"/>
        <v>0</v>
      </c>
      <c r="N884" s="1304">
        <v>0</v>
      </c>
      <c r="O884" s="783">
        <f t="shared" si="83"/>
        <v>0</v>
      </c>
      <c r="P884" s="783">
        <f t="shared" si="84"/>
        <v>0</v>
      </c>
    </row>
    <row r="885" spans="2:16">
      <c r="C885" s="779">
        <f>IF(D877="","-",+C884+1)</f>
        <v>2018</v>
      </c>
      <c r="D885" s="1393">
        <f t="shared" si="85"/>
        <v>8056777.2219212959</v>
      </c>
      <c r="E885" s="780">
        <f t="shared" ref="E885:E942" si="86">IF(D885&gt;$J$880,$J$880,D885)</f>
        <v>234095.22194444446</v>
      </c>
      <c r="F885" s="780">
        <f t="shared" si="79"/>
        <v>7822681.999976851</v>
      </c>
      <c r="G885" s="727">
        <f t="shared" si="80"/>
        <v>7939729.610949073</v>
      </c>
      <c r="H885" s="785">
        <f>+J878*G885+E885</f>
        <v>1146067.3241661261</v>
      </c>
      <c r="I885" s="786">
        <f>+J879*G885+E885</f>
        <v>1146067.3241661261</v>
      </c>
      <c r="J885" s="783">
        <f t="shared" si="81"/>
        <v>0</v>
      </c>
      <c r="K885" s="783"/>
      <c r="L885" s="1304">
        <v>0</v>
      </c>
      <c r="M885" s="783">
        <f t="shared" si="82"/>
        <v>0</v>
      </c>
      <c r="N885" s="1304">
        <v>0</v>
      </c>
      <c r="O885" s="783">
        <f t="shared" si="83"/>
        <v>0</v>
      </c>
      <c r="P885" s="783">
        <f t="shared" si="84"/>
        <v>0</v>
      </c>
    </row>
    <row r="886" spans="2:16">
      <c r="C886" s="779">
        <f>IF(D877="","-",+C885+1)</f>
        <v>2019</v>
      </c>
      <c r="D886" s="727">
        <f t="shared" si="85"/>
        <v>7822681.999976851</v>
      </c>
      <c r="E886" s="780">
        <f t="shared" si="86"/>
        <v>234095.22194444446</v>
      </c>
      <c r="F886" s="780">
        <f t="shared" si="79"/>
        <v>7588586.7780324062</v>
      </c>
      <c r="G886" s="727">
        <f t="shared" si="80"/>
        <v>7705634.3890046291</v>
      </c>
      <c r="H886" s="785">
        <f>+J878*G886+E886</f>
        <v>1119178.7118156096</v>
      </c>
      <c r="I886" s="786">
        <f>+J879*G886+E886</f>
        <v>1119178.7118156096</v>
      </c>
      <c r="J886" s="783">
        <f t="shared" si="81"/>
        <v>0</v>
      </c>
      <c r="K886" s="783"/>
      <c r="L886" s="1304">
        <v>1008642</v>
      </c>
      <c r="M886" s="783">
        <f t="shared" si="82"/>
        <v>110536.7118156096</v>
      </c>
      <c r="N886" s="1304">
        <v>1008642</v>
      </c>
      <c r="O886" s="783">
        <f t="shared" si="83"/>
        <v>110536.7118156096</v>
      </c>
      <c r="P886" s="783">
        <f t="shared" si="84"/>
        <v>0</v>
      </c>
    </row>
    <row r="887" spans="2:16">
      <c r="C887" s="779">
        <f>IF(D877="","-",+C886+1)</f>
        <v>2020</v>
      </c>
      <c r="D887" s="1323">
        <f t="shared" si="85"/>
        <v>7588586.7780324062</v>
      </c>
      <c r="E887" s="780">
        <f t="shared" si="86"/>
        <v>234095.22194444446</v>
      </c>
      <c r="F887" s="780">
        <f t="shared" si="79"/>
        <v>7354491.5560879614</v>
      </c>
      <c r="G887" s="727">
        <f t="shared" si="80"/>
        <v>7471539.1670601834</v>
      </c>
      <c r="H887" s="785">
        <f>+J878*G887+E887</f>
        <v>1092290.0994650931</v>
      </c>
      <c r="I887" s="786">
        <f>+J879*G887+E887</f>
        <v>1092290.0994650931</v>
      </c>
      <c r="J887" s="783">
        <f t="shared" si="81"/>
        <v>0</v>
      </c>
      <c r="K887" s="783"/>
      <c r="L887" s="1304">
        <v>1022943.147566004</v>
      </c>
      <c r="M887" s="783">
        <f t="shared" si="82"/>
        <v>69346.951899089152</v>
      </c>
      <c r="N887" s="1304">
        <v>1022943.147566004</v>
      </c>
      <c r="O887" s="783">
        <f t="shared" si="83"/>
        <v>69346.951899089152</v>
      </c>
      <c r="P887" s="783">
        <f t="shared" si="84"/>
        <v>0</v>
      </c>
    </row>
    <row r="888" spans="2:16">
      <c r="C888" s="779">
        <f>IF(D877="","-",+C887+1)</f>
        <v>2021</v>
      </c>
      <c r="D888" s="1323">
        <f t="shared" si="85"/>
        <v>7354491.5560879614</v>
      </c>
      <c r="E888" s="780">
        <f t="shared" si="86"/>
        <v>234095.22194444446</v>
      </c>
      <c r="F888" s="780">
        <f t="shared" si="79"/>
        <v>7120396.3341435166</v>
      </c>
      <c r="G888" s="727">
        <f t="shared" si="80"/>
        <v>7237443.9451157395</v>
      </c>
      <c r="H888" s="785">
        <f>+J878*G888+E888</f>
        <v>1065401.4871145769</v>
      </c>
      <c r="I888" s="786">
        <f>+J879*G888+E888</f>
        <v>1065401.4871145769</v>
      </c>
      <c r="J888" s="783">
        <f t="shared" si="81"/>
        <v>0</v>
      </c>
      <c r="K888" s="783"/>
      <c r="L888" s="1304">
        <v>1014728.9243219129</v>
      </c>
      <c r="M888" s="783">
        <f t="shared" si="82"/>
        <v>50672.562792663928</v>
      </c>
      <c r="N888" s="1304">
        <v>1014728.9243219129</v>
      </c>
      <c r="O888" s="783">
        <f t="shared" si="83"/>
        <v>50672.562792663928</v>
      </c>
      <c r="P888" s="783">
        <f t="shared" si="84"/>
        <v>0</v>
      </c>
    </row>
    <row r="889" spans="2:16">
      <c r="C889" s="779">
        <f>IF(D877="","-",+C888+1)</f>
        <v>2022</v>
      </c>
      <c r="D889" s="1323">
        <f t="shared" si="85"/>
        <v>7120396.3341435166</v>
      </c>
      <c r="E889" s="780">
        <f t="shared" si="86"/>
        <v>234095.22194444446</v>
      </c>
      <c r="F889" s="780">
        <f t="shared" si="79"/>
        <v>6886301.1121990718</v>
      </c>
      <c r="G889" s="727">
        <f t="shared" si="80"/>
        <v>7003348.7231712937</v>
      </c>
      <c r="H889" s="785">
        <f>+J878*G889+E889</f>
        <v>1038512.8747640603</v>
      </c>
      <c r="I889" s="786">
        <f>+J879*G889+E889</f>
        <v>1038512.8747640603</v>
      </c>
      <c r="J889" s="783">
        <f t="shared" si="81"/>
        <v>0</v>
      </c>
      <c r="K889" s="783"/>
      <c r="L889" s="1304">
        <v>1034327.9321963114</v>
      </c>
      <c r="M889" s="783">
        <f t="shared" si="82"/>
        <v>4184.9425677488325</v>
      </c>
      <c r="N889" s="1304">
        <v>1034327.9321963114</v>
      </c>
      <c r="O889" s="783">
        <f t="shared" si="83"/>
        <v>4184.9425677488325</v>
      </c>
      <c r="P889" s="783">
        <f t="shared" si="84"/>
        <v>0</v>
      </c>
    </row>
    <row r="890" spans="2:16">
      <c r="C890" s="779">
        <f>IF(D877="","-",+C889+1)</f>
        <v>2023</v>
      </c>
      <c r="D890" s="727">
        <f t="shared" si="85"/>
        <v>6886301.1121990718</v>
      </c>
      <c r="E890" s="780">
        <f t="shared" si="86"/>
        <v>234095.22194444446</v>
      </c>
      <c r="F890" s="780">
        <f t="shared" si="79"/>
        <v>6652205.890254627</v>
      </c>
      <c r="G890" s="727">
        <f t="shared" si="80"/>
        <v>6769253.5012268499</v>
      </c>
      <c r="H890" s="785">
        <f>+J878*G890+E890</f>
        <v>1011624.2624135439</v>
      </c>
      <c r="I890" s="786">
        <f>+J879*G890+E890</f>
        <v>1011624.2624135439</v>
      </c>
      <c r="J890" s="783">
        <f t="shared" si="81"/>
        <v>0</v>
      </c>
      <c r="K890" s="783"/>
      <c r="L890" s="1304"/>
      <c r="M890" s="783">
        <f t="shared" si="82"/>
        <v>0</v>
      </c>
      <c r="N890" s="1304"/>
      <c r="O890" s="783">
        <f t="shared" si="83"/>
        <v>0</v>
      </c>
      <c r="P890" s="783">
        <f t="shared" si="84"/>
        <v>0</v>
      </c>
    </row>
    <row r="891" spans="2:16">
      <c r="C891" s="779">
        <f>IF(D877="","-",+C890+1)</f>
        <v>2024</v>
      </c>
      <c r="D891" s="727">
        <f t="shared" si="85"/>
        <v>6652205.890254627</v>
      </c>
      <c r="E891" s="780">
        <f t="shared" si="86"/>
        <v>234095.22194444446</v>
      </c>
      <c r="F891" s="780">
        <f t="shared" si="79"/>
        <v>6418110.6683101822</v>
      </c>
      <c r="G891" s="727">
        <f t="shared" si="80"/>
        <v>6535158.2792824041</v>
      </c>
      <c r="H891" s="785">
        <f>+J878*G891+E891</f>
        <v>984735.65006302728</v>
      </c>
      <c r="I891" s="786">
        <f>+J879*G891+E891</f>
        <v>984735.65006302728</v>
      </c>
      <c r="J891" s="783">
        <f t="shared" si="81"/>
        <v>0</v>
      </c>
      <c r="K891" s="783"/>
      <c r="L891" s="1304"/>
      <c r="M891" s="783">
        <f t="shared" si="82"/>
        <v>0</v>
      </c>
      <c r="N891" s="1304"/>
      <c r="O891" s="783">
        <f t="shared" si="83"/>
        <v>0</v>
      </c>
      <c r="P891" s="783">
        <f t="shared" si="84"/>
        <v>0</v>
      </c>
    </row>
    <row r="892" spans="2:16">
      <c r="C892" s="779">
        <f>IF(D877="","-",+C891+1)</f>
        <v>2025</v>
      </c>
      <c r="D892" s="727">
        <f t="shared" si="85"/>
        <v>6418110.6683101822</v>
      </c>
      <c r="E892" s="780">
        <f t="shared" si="86"/>
        <v>234095.22194444446</v>
      </c>
      <c r="F892" s="780">
        <f t="shared" si="79"/>
        <v>6184015.4463657374</v>
      </c>
      <c r="G892" s="727">
        <f t="shared" si="80"/>
        <v>6301063.0573379602</v>
      </c>
      <c r="H892" s="785">
        <f>+J878*G892+E892</f>
        <v>957847.03771251102</v>
      </c>
      <c r="I892" s="786">
        <f>+J879*G892+E892</f>
        <v>957847.03771251102</v>
      </c>
      <c r="J892" s="783">
        <f t="shared" si="81"/>
        <v>0</v>
      </c>
      <c r="K892" s="783"/>
      <c r="L892" s="1304"/>
      <c r="M892" s="783">
        <f t="shared" si="82"/>
        <v>0</v>
      </c>
      <c r="N892" s="1304"/>
      <c r="O892" s="783">
        <f t="shared" si="83"/>
        <v>0</v>
      </c>
      <c r="P892" s="783">
        <f t="shared" si="84"/>
        <v>0</v>
      </c>
    </row>
    <row r="893" spans="2:16">
      <c r="C893" s="779">
        <f>IF(D877="","-",+C892+1)</f>
        <v>2026</v>
      </c>
      <c r="D893" s="727">
        <f t="shared" si="85"/>
        <v>6184015.4463657374</v>
      </c>
      <c r="E893" s="780">
        <f t="shared" si="86"/>
        <v>234095.22194444446</v>
      </c>
      <c r="F893" s="780">
        <f t="shared" si="79"/>
        <v>5949920.2244212925</v>
      </c>
      <c r="G893" s="727">
        <f t="shared" si="80"/>
        <v>6066967.8353935145</v>
      </c>
      <c r="H893" s="785">
        <f>+J878*G893+E893</f>
        <v>930958.42536199442</v>
      </c>
      <c r="I893" s="786">
        <f>+J879*G893+E893</f>
        <v>930958.42536199442</v>
      </c>
      <c r="J893" s="783">
        <f t="shared" si="81"/>
        <v>0</v>
      </c>
      <c r="K893" s="783"/>
      <c r="L893" s="1304"/>
      <c r="M893" s="783">
        <f t="shared" si="82"/>
        <v>0</v>
      </c>
      <c r="N893" s="1304"/>
      <c r="O893" s="783">
        <f t="shared" si="83"/>
        <v>0</v>
      </c>
      <c r="P893" s="783">
        <f t="shared" si="84"/>
        <v>0</v>
      </c>
    </row>
    <row r="894" spans="2:16">
      <c r="C894" s="779">
        <f>IF(D877="","-",+C893+1)</f>
        <v>2027</v>
      </c>
      <c r="D894" s="727">
        <f t="shared" si="85"/>
        <v>5949920.2244212925</v>
      </c>
      <c r="E894" s="780">
        <f t="shared" si="86"/>
        <v>234095.22194444446</v>
      </c>
      <c r="F894" s="780">
        <f t="shared" si="79"/>
        <v>5715825.0024768477</v>
      </c>
      <c r="G894" s="727">
        <f t="shared" si="80"/>
        <v>5832872.6134490706</v>
      </c>
      <c r="H894" s="785">
        <f>+J878*G894+E894</f>
        <v>904069.81301147805</v>
      </c>
      <c r="I894" s="786">
        <f>+J879*G894+E894</f>
        <v>904069.81301147805</v>
      </c>
      <c r="J894" s="783">
        <f t="shared" si="81"/>
        <v>0</v>
      </c>
      <c r="K894" s="783"/>
      <c r="L894" s="1304"/>
      <c r="M894" s="783">
        <f t="shared" si="82"/>
        <v>0</v>
      </c>
      <c r="N894" s="1304"/>
      <c r="O894" s="783">
        <f t="shared" si="83"/>
        <v>0</v>
      </c>
      <c r="P894" s="783">
        <f t="shared" si="84"/>
        <v>0</v>
      </c>
    </row>
    <row r="895" spans="2:16">
      <c r="C895" s="779">
        <f>IF(D877="","-",+C894+1)</f>
        <v>2028</v>
      </c>
      <c r="D895" s="727">
        <f t="shared" si="85"/>
        <v>5715825.0024768477</v>
      </c>
      <c r="E895" s="780">
        <f t="shared" si="86"/>
        <v>234095.22194444446</v>
      </c>
      <c r="F895" s="780">
        <f t="shared" si="79"/>
        <v>5481729.7805324029</v>
      </c>
      <c r="G895" s="727">
        <f t="shared" si="80"/>
        <v>5598777.3915046249</v>
      </c>
      <c r="H895" s="785">
        <f>+J878*G895+E895</f>
        <v>877181.20066096145</v>
      </c>
      <c r="I895" s="786">
        <f>+J879*G895+E895</f>
        <v>877181.20066096145</v>
      </c>
      <c r="J895" s="783">
        <f t="shared" si="81"/>
        <v>0</v>
      </c>
      <c r="K895" s="783"/>
      <c r="L895" s="1304"/>
      <c r="M895" s="783">
        <f t="shared" si="82"/>
        <v>0</v>
      </c>
      <c r="N895" s="1304"/>
      <c r="O895" s="783">
        <f t="shared" si="83"/>
        <v>0</v>
      </c>
      <c r="P895" s="783">
        <f t="shared" si="84"/>
        <v>0</v>
      </c>
    </row>
    <row r="896" spans="2:16">
      <c r="C896" s="779">
        <f>IF(D877="","-",+C895+1)</f>
        <v>2029</v>
      </c>
      <c r="D896" s="727">
        <f t="shared" si="85"/>
        <v>5481729.7805324029</v>
      </c>
      <c r="E896" s="780">
        <f t="shared" si="86"/>
        <v>234095.22194444446</v>
      </c>
      <c r="F896" s="780">
        <f t="shared" si="79"/>
        <v>5247634.5585879581</v>
      </c>
      <c r="G896" s="727">
        <f t="shared" si="80"/>
        <v>5364682.169560181</v>
      </c>
      <c r="H896" s="785">
        <f>+J878*G896+E896</f>
        <v>850292.58831044519</v>
      </c>
      <c r="I896" s="786">
        <f>+J879*G896+E896</f>
        <v>850292.58831044519</v>
      </c>
      <c r="J896" s="783">
        <f t="shared" si="81"/>
        <v>0</v>
      </c>
      <c r="K896" s="783"/>
      <c r="L896" s="1304"/>
      <c r="M896" s="783">
        <f t="shared" si="82"/>
        <v>0</v>
      </c>
      <c r="N896" s="1304"/>
      <c r="O896" s="783">
        <f t="shared" si="83"/>
        <v>0</v>
      </c>
      <c r="P896" s="783">
        <f t="shared" si="84"/>
        <v>0</v>
      </c>
    </row>
    <row r="897" spans="3:16">
      <c r="C897" s="779">
        <f>IF(D877="","-",+C896+1)</f>
        <v>2030</v>
      </c>
      <c r="D897" s="727">
        <f t="shared" si="85"/>
        <v>5247634.5585879581</v>
      </c>
      <c r="E897" s="780">
        <f t="shared" si="86"/>
        <v>234095.22194444446</v>
      </c>
      <c r="F897" s="780">
        <f t="shared" si="79"/>
        <v>5013539.3366435133</v>
      </c>
      <c r="G897" s="727">
        <f t="shared" si="80"/>
        <v>5130586.9476157352</v>
      </c>
      <c r="H897" s="785">
        <f>+J878*G897+E897</f>
        <v>823403.97595992859</v>
      </c>
      <c r="I897" s="786">
        <f>+J879*G897+E897</f>
        <v>823403.97595992859</v>
      </c>
      <c r="J897" s="783">
        <f t="shared" si="81"/>
        <v>0</v>
      </c>
      <c r="K897" s="783"/>
      <c r="L897" s="1304"/>
      <c r="M897" s="783">
        <f t="shared" si="82"/>
        <v>0</v>
      </c>
      <c r="N897" s="1304"/>
      <c r="O897" s="783">
        <f t="shared" si="83"/>
        <v>0</v>
      </c>
      <c r="P897" s="783">
        <f t="shared" si="84"/>
        <v>0</v>
      </c>
    </row>
    <row r="898" spans="3:16">
      <c r="C898" s="779">
        <f>IF(D877="","-",+C897+1)</f>
        <v>2031</v>
      </c>
      <c r="D898" s="727">
        <f t="shared" si="85"/>
        <v>5013539.3366435133</v>
      </c>
      <c r="E898" s="780">
        <f t="shared" si="86"/>
        <v>234095.22194444446</v>
      </c>
      <c r="F898" s="780">
        <f t="shared" si="79"/>
        <v>4779444.1146990685</v>
      </c>
      <c r="G898" s="727">
        <f t="shared" si="80"/>
        <v>4896491.7256712914</v>
      </c>
      <c r="H898" s="785">
        <f>+J878*G898+E898</f>
        <v>796515.36360941222</v>
      </c>
      <c r="I898" s="786">
        <f>+J879*G898+E898</f>
        <v>796515.36360941222</v>
      </c>
      <c r="J898" s="783">
        <f t="shared" si="81"/>
        <v>0</v>
      </c>
      <c r="K898" s="783"/>
      <c r="L898" s="1304"/>
      <c r="M898" s="783">
        <f t="shared" si="82"/>
        <v>0</v>
      </c>
      <c r="N898" s="1304"/>
      <c r="O898" s="783">
        <f t="shared" si="83"/>
        <v>0</v>
      </c>
      <c r="P898" s="783">
        <f t="shared" si="84"/>
        <v>0</v>
      </c>
    </row>
    <row r="899" spans="3:16">
      <c r="C899" s="779">
        <f>IF(D877="","-",+C898+1)</f>
        <v>2032</v>
      </c>
      <c r="D899" s="727">
        <f t="shared" si="85"/>
        <v>4779444.1146990685</v>
      </c>
      <c r="E899" s="780">
        <f t="shared" si="86"/>
        <v>234095.22194444446</v>
      </c>
      <c r="F899" s="780">
        <f t="shared" si="79"/>
        <v>4545348.8927546237</v>
      </c>
      <c r="G899" s="727">
        <f t="shared" si="80"/>
        <v>4662396.5037268456</v>
      </c>
      <c r="H899" s="785">
        <f>+J878*G899+E899</f>
        <v>769626.75125889562</v>
      </c>
      <c r="I899" s="786">
        <f>+J879*G899+E899</f>
        <v>769626.75125889562</v>
      </c>
      <c r="J899" s="783">
        <f t="shared" si="81"/>
        <v>0</v>
      </c>
      <c r="K899" s="783"/>
      <c r="L899" s="1304"/>
      <c r="M899" s="783">
        <f t="shared" si="82"/>
        <v>0</v>
      </c>
      <c r="N899" s="1304"/>
      <c r="O899" s="783">
        <f t="shared" si="83"/>
        <v>0</v>
      </c>
      <c r="P899" s="783">
        <f t="shared" si="84"/>
        <v>0</v>
      </c>
    </row>
    <row r="900" spans="3:16">
      <c r="C900" s="779">
        <f>IF(D877="","-",+C899+1)</f>
        <v>2033</v>
      </c>
      <c r="D900" s="727">
        <f t="shared" si="85"/>
        <v>4545348.8927546237</v>
      </c>
      <c r="E900" s="780">
        <f t="shared" si="86"/>
        <v>234095.22194444446</v>
      </c>
      <c r="F900" s="780">
        <f t="shared" si="79"/>
        <v>4311253.6708101789</v>
      </c>
      <c r="G900" s="727">
        <f t="shared" si="80"/>
        <v>4428301.2817824017</v>
      </c>
      <c r="H900" s="785">
        <f>+J878*G900+E900</f>
        <v>742738.13890837925</v>
      </c>
      <c r="I900" s="786">
        <f>+J879*G900+E900</f>
        <v>742738.13890837925</v>
      </c>
      <c r="J900" s="783">
        <f t="shared" si="81"/>
        <v>0</v>
      </c>
      <c r="K900" s="783"/>
      <c r="L900" s="1304"/>
      <c r="M900" s="783">
        <f t="shared" si="82"/>
        <v>0</v>
      </c>
      <c r="N900" s="1304"/>
      <c r="O900" s="783">
        <f t="shared" si="83"/>
        <v>0</v>
      </c>
      <c r="P900" s="783">
        <f t="shared" si="84"/>
        <v>0</v>
      </c>
    </row>
    <row r="901" spans="3:16">
      <c r="C901" s="779">
        <f>IF(D877="","-",+C900+1)</f>
        <v>2034</v>
      </c>
      <c r="D901" s="727">
        <f t="shared" si="85"/>
        <v>4311253.6708101789</v>
      </c>
      <c r="E901" s="780">
        <f t="shared" si="86"/>
        <v>234095.22194444446</v>
      </c>
      <c r="F901" s="780">
        <f t="shared" si="79"/>
        <v>4077158.4488657345</v>
      </c>
      <c r="G901" s="727">
        <f t="shared" si="80"/>
        <v>4194206.0598379569</v>
      </c>
      <c r="H901" s="785">
        <f>+J878*G901+E901</f>
        <v>715849.52655786288</v>
      </c>
      <c r="I901" s="786">
        <f>+J879*G901+E901</f>
        <v>715849.52655786288</v>
      </c>
      <c r="J901" s="783">
        <f t="shared" si="81"/>
        <v>0</v>
      </c>
      <c r="K901" s="783"/>
      <c r="L901" s="1304"/>
      <c r="M901" s="783">
        <f t="shared" si="82"/>
        <v>0</v>
      </c>
      <c r="N901" s="1304"/>
      <c r="O901" s="783">
        <f t="shared" si="83"/>
        <v>0</v>
      </c>
      <c r="P901" s="783">
        <f t="shared" si="84"/>
        <v>0</v>
      </c>
    </row>
    <row r="902" spans="3:16">
      <c r="C902" s="779">
        <f>IF(D877="","-",+C901+1)</f>
        <v>2035</v>
      </c>
      <c r="D902" s="727">
        <f t="shared" si="85"/>
        <v>4077158.4488657345</v>
      </c>
      <c r="E902" s="780">
        <f t="shared" si="86"/>
        <v>234095.22194444446</v>
      </c>
      <c r="F902" s="780">
        <f t="shared" si="79"/>
        <v>3843063.2269212902</v>
      </c>
      <c r="G902" s="727">
        <f t="shared" si="80"/>
        <v>3960110.8378935121</v>
      </c>
      <c r="H902" s="785">
        <f>+J878*G902+E902</f>
        <v>688960.91420734639</v>
      </c>
      <c r="I902" s="786">
        <f>+J879*G902+E902</f>
        <v>688960.91420734639</v>
      </c>
      <c r="J902" s="783">
        <f t="shared" si="81"/>
        <v>0</v>
      </c>
      <c r="K902" s="783"/>
      <c r="L902" s="1304"/>
      <c r="M902" s="783">
        <f t="shared" si="82"/>
        <v>0</v>
      </c>
      <c r="N902" s="1304"/>
      <c r="O902" s="783">
        <f t="shared" si="83"/>
        <v>0</v>
      </c>
      <c r="P902" s="783">
        <f t="shared" si="84"/>
        <v>0</v>
      </c>
    </row>
    <row r="903" spans="3:16">
      <c r="C903" s="779">
        <f>IF(D877="","-",+C902+1)</f>
        <v>2036</v>
      </c>
      <c r="D903" s="727">
        <f t="shared" si="85"/>
        <v>3843063.2269212902</v>
      </c>
      <c r="E903" s="780">
        <f t="shared" si="86"/>
        <v>234095.22194444446</v>
      </c>
      <c r="F903" s="780">
        <f t="shared" si="79"/>
        <v>3608968.0049768458</v>
      </c>
      <c r="G903" s="727">
        <f t="shared" si="80"/>
        <v>3726015.6159490682</v>
      </c>
      <c r="H903" s="785">
        <f>+J878*G903+E903</f>
        <v>662072.30185683002</v>
      </c>
      <c r="I903" s="786">
        <f>+J879*G903+E903</f>
        <v>662072.30185683002</v>
      </c>
      <c r="J903" s="783">
        <f t="shared" si="81"/>
        <v>0</v>
      </c>
      <c r="K903" s="783"/>
      <c r="L903" s="1304"/>
      <c r="M903" s="783">
        <f t="shared" si="82"/>
        <v>0</v>
      </c>
      <c r="N903" s="1304"/>
      <c r="O903" s="783">
        <f t="shared" si="83"/>
        <v>0</v>
      </c>
      <c r="P903" s="783">
        <f t="shared" si="84"/>
        <v>0</v>
      </c>
    </row>
    <row r="904" spans="3:16">
      <c r="C904" s="779">
        <f>IF(D877="","-",+C903+1)</f>
        <v>2037</v>
      </c>
      <c r="D904" s="727">
        <f t="shared" si="85"/>
        <v>3608968.0049768458</v>
      </c>
      <c r="E904" s="780">
        <f t="shared" si="86"/>
        <v>234095.22194444446</v>
      </c>
      <c r="F904" s="780">
        <f t="shared" si="79"/>
        <v>3374872.7830324015</v>
      </c>
      <c r="G904" s="727">
        <f t="shared" si="80"/>
        <v>3491920.3940046234</v>
      </c>
      <c r="H904" s="785">
        <f>+J878*G904+E904</f>
        <v>635183.68950631353</v>
      </c>
      <c r="I904" s="786">
        <f>+J879*G904+E904</f>
        <v>635183.68950631353</v>
      </c>
      <c r="J904" s="783">
        <f t="shared" si="81"/>
        <v>0</v>
      </c>
      <c r="K904" s="783"/>
      <c r="L904" s="1304"/>
      <c r="M904" s="783">
        <f t="shared" si="82"/>
        <v>0</v>
      </c>
      <c r="N904" s="1304"/>
      <c r="O904" s="783">
        <f t="shared" si="83"/>
        <v>0</v>
      </c>
      <c r="P904" s="783">
        <f t="shared" si="84"/>
        <v>0</v>
      </c>
    </row>
    <row r="905" spans="3:16">
      <c r="C905" s="779">
        <f>IF(D877="","-",+C904+1)</f>
        <v>2038</v>
      </c>
      <c r="D905" s="727">
        <f t="shared" si="85"/>
        <v>3374872.7830324015</v>
      </c>
      <c r="E905" s="780">
        <f t="shared" si="86"/>
        <v>234095.22194444446</v>
      </c>
      <c r="F905" s="780">
        <f t="shared" si="79"/>
        <v>3140777.5610879571</v>
      </c>
      <c r="G905" s="727">
        <f t="shared" si="80"/>
        <v>3257825.1720601795</v>
      </c>
      <c r="H905" s="785">
        <f>+J878*G905+E905</f>
        <v>608295.07715579728</v>
      </c>
      <c r="I905" s="786">
        <f>+J879*G905+E905</f>
        <v>608295.07715579728</v>
      </c>
      <c r="J905" s="783">
        <f t="shared" si="81"/>
        <v>0</v>
      </c>
      <c r="K905" s="783"/>
      <c r="L905" s="1304"/>
      <c r="M905" s="783">
        <f t="shared" si="82"/>
        <v>0</v>
      </c>
      <c r="N905" s="1304"/>
      <c r="O905" s="783">
        <f t="shared" si="83"/>
        <v>0</v>
      </c>
      <c r="P905" s="783">
        <f t="shared" si="84"/>
        <v>0</v>
      </c>
    </row>
    <row r="906" spans="3:16">
      <c r="C906" s="779">
        <f>IF(D877="","-",+C905+1)</f>
        <v>2039</v>
      </c>
      <c r="D906" s="727">
        <f t="shared" si="85"/>
        <v>3140777.5610879571</v>
      </c>
      <c r="E906" s="780">
        <f t="shared" si="86"/>
        <v>234095.22194444446</v>
      </c>
      <c r="F906" s="780">
        <f t="shared" si="79"/>
        <v>2906682.3391435128</v>
      </c>
      <c r="G906" s="727">
        <f t="shared" si="80"/>
        <v>3023729.9501157347</v>
      </c>
      <c r="H906" s="785">
        <f>+J878*G906+E906</f>
        <v>581406.46480528079</v>
      </c>
      <c r="I906" s="786">
        <f>+J879*G906+E906</f>
        <v>581406.46480528079</v>
      </c>
      <c r="J906" s="783">
        <f t="shared" si="81"/>
        <v>0</v>
      </c>
      <c r="K906" s="783"/>
      <c r="L906" s="1304"/>
      <c r="M906" s="783">
        <f t="shared" si="82"/>
        <v>0</v>
      </c>
      <c r="N906" s="1304"/>
      <c r="O906" s="783">
        <f t="shared" si="83"/>
        <v>0</v>
      </c>
      <c r="P906" s="783">
        <f t="shared" si="84"/>
        <v>0</v>
      </c>
    </row>
    <row r="907" spans="3:16">
      <c r="C907" s="779">
        <f>IF(D877="","-",+C906+1)</f>
        <v>2040</v>
      </c>
      <c r="D907" s="727">
        <f t="shared" si="85"/>
        <v>2906682.3391435128</v>
      </c>
      <c r="E907" s="780">
        <f t="shared" si="86"/>
        <v>234095.22194444446</v>
      </c>
      <c r="F907" s="780">
        <f t="shared" si="79"/>
        <v>2672587.1171990684</v>
      </c>
      <c r="G907" s="727">
        <f t="shared" si="80"/>
        <v>2789634.7281712908</v>
      </c>
      <c r="H907" s="785">
        <f>+J878*G907+E907</f>
        <v>554517.85245476442</v>
      </c>
      <c r="I907" s="786">
        <f>+J879*G907+E907</f>
        <v>554517.85245476442</v>
      </c>
      <c r="J907" s="783">
        <f t="shared" si="81"/>
        <v>0</v>
      </c>
      <c r="K907" s="783"/>
      <c r="L907" s="1304"/>
      <c r="M907" s="783">
        <f t="shared" si="82"/>
        <v>0</v>
      </c>
      <c r="N907" s="1304"/>
      <c r="O907" s="783">
        <f t="shared" si="83"/>
        <v>0</v>
      </c>
      <c r="P907" s="783">
        <f t="shared" si="84"/>
        <v>0</v>
      </c>
    </row>
    <row r="908" spans="3:16">
      <c r="C908" s="779">
        <f>IF(D877="","-",+C907+1)</f>
        <v>2041</v>
      </c>
      <c r="D908" s="727">
        <f t="shared" si="85"/>
        <v>2672587.1171990684</v>
      </c>
      <c r="E908" s="780">
        <f t="shared" si="86"/>
        <v>234095.22194444446</v>
      </c>
      <c r="F908" s="780">
        <f t="shared" si="79"/>
        <v>2438491.8952546241</v>
      </c>
      <c r="G908" s="727">
        <f t="shared" si="80"/>
        <v>2555539.506226846</v>
      </c>
      <c r="H908" s="785">
        <f>+J878*G908+E908</f>
        <v>527629.24010424805</v>
      </c>
      <c r="I908" s="786">
        <f>+J879*G908+E908</f>
        <v>527629.24010424805</v>
      </c>
      <c r="J908" s="783">
        <f t="shared" si="81"/>
        <v>0</v>
      </c>
      <c r="K908" s="783"/>
      <c r="L908" s="1304"/>
      <c r="M908" s="783">
        <f t="shared" si="82"/>
        <v>0</v>
      </c>
      <c r="N908" s="1304"/>
      <c r="O908" s="783">
        <f t="shared" si="83"/>
        <v>0</v>
      </c>
      <c r="P908" s="783">
        <f t="shared" si="84"/>
        <v>0</v>
      </c>
    </row>
    <row r="909" spans="3:16">
      <c r="C909" s="779">
        <f>IF(D877="","-",+C908+1)</f>
        <v>2042</v>
      </c>
      <c r="D909" s="727">
        <f t="shared" si="85"/>
        <v>2438491.8952546241</v>
      </c>
      <c r="E909" s="780">
        <f t="shared" si="86"/>
        <v>234095.22194444446</v>
      </c>
      <c r="F909" s="780">
        <f t="shared" si="79"/>
        <v>2204396.6733101797</v>
      </c>
      <c r="G909" s="727">
        <f t="shared" si="80"/>
        <v>2321444.2842824021</v>
      </c>
      <c r="H909" s="785">
        <f>+J878*G909+E909</f>
        <v>500740.62775373162</v>
      </c>
      <c r="I909" s="786">
        <f>+J879*G909+E909</f>
        <v>500740.62775373162</v>
      </c>
      <c r="J909" s="783">
        <f t="shared" si="81"/>
        <v>0</v>
      </c>
      <c r="K909" s="783"/>
      <c r="L909" s="1304"/>
      <c r="M909" s="783">
        <f t="shared" si="82"/>
        <v>0</v>
      </c>
      <c r="N909" s="1304"/>
      <c r="O909" s="783">
        <f t="shared" si="83"/>
        <v>0</v>
      </c>
      <c r="P909" s="783">
        <f t="shared" si="84"/>
        <v>0</v>
      </c>
    </row>
    <row r="910" spans="3:16">
      <c r="C910" s="779">
        <f>IF(D877="","-",+C909+1)</f>
        <v>2043</v>
      </c>
      <c r="D910" s="727">
        <f t="shared" si="85"/>
        <v>2204396.6733101797</v>
      </c>
      <c r="E910" s="780">
        <f t="shared" si="86"/>
        <v>234095.22194444446</v>
      </c>
      <c r="F910" s="780">
        <f t="shared" si="79"/>
        <v>1970301.4513657354</v>
      </c>
      <c r="G910" s="727">
        <f t="shared" si="80"/>
        <v>2087349.0623379576</v>
      </c>
      <c r="H910" s="785">
        <f>+J878*G910+E910</f>
        <v>473852.01540321519</v>
      </c>
      <c r="I910" s="786">
        <f>+J879*G910+E910</f>
        <v>473852.01540321519</v>
      </c>
      <c r="J910" s="783">
        <f t="shared" si="81"/>
        <v>0</v>
      </c>
      <c r="K910" s="783"/>
      <c r="L910" s="1304"/>
      <c r="M910" s="783">
        <f t="shared" si="82"/>
        <v>0</v>
      </c>
      <c r="N910" s="1304"/>
      <c r="O910" s="783">
        <f t="shared" si="83"/>
        <v>0</v>
      </c>
      <c r="P910" s="783">
        <f t="shared" si="84"/>
        <v>0</v>
      </c>
    </row>
    <row r="911" spans="3:16">
      <c r="C911" s="779">
        <f>IF(D877="","-",+C910+1)</f>
        <v>2044</v>
      </c>
      <c r="D911" s="727">
        <f t="shared" si="85"/>
        <v>1970301.4513657354</v>
      </c>
      <c r="E911" s="780">
        <f t="shared" si="86"/>
        <v>234095.22194444446</v>
      </c>
      <c r="F911" s="780">
        <f t="shared" si="79"/>
        <v>1736206.229421291</v>
      </c>
      <c r="G911" s="727">
        <f t="shared" si="80"/>
        <v>1853253.8403935132</v>
      </c>
      <c r="H911" s="785">
        <f>+J878*G911+E911</f>
        <v>446963.40305269882</v>
      </c>
      <c r="I911" s="786">
        <f>+J879*G911+E911</f>
        <v>446963.40305269882</v>
      </c>
      <c r="J911" s="783">
        <f t="shared" si="81"/>
        <v>0</v>
      </c>
      <c r="K911" s="783"/>
      <c r="L911" s="1304"/>
      <c r="M911" s="783">
        <f t="shared" si="82"/>
        <v>0</v>
      </c>
      <c r="N911" s="1304"/>
      <c r="O911" s="783">
        <f t="shared" si="83"/>
        <v>0</v>
      </c>
      <c r="P911" s="783">
        <f t="shared" si="84"/>
        <v>0</v>
      </c>
    </row>
    <row r="912" spans="3:16">
      <c r="C912" s="779">
        <f>IF(D877="","-",+C911+1)</f>
        <v>2045</v>
      </c>
      <c r="D912" s="727">
        <f t="shared" si="85"/>
        <v>1736206.229421291</v>
      </c>
      <c r="E912" s="780">
        <f t="shared" si="86"/>
        <v>234095.22194444446</v>
      </c>
      <c r="F912" s="780">
        <f t="shared" si="79"/>
        <v>1502111.0074768467</v>
      </c>
      <c r="G912" s="727">
        <f t="shared" si="80"/>
        <v>1619158.6184490689</v>
      </c>
      <c r="H912" s="785">
        <f>+J878*G912+E912</f>
        <v>420074.79070218239</v>
      </c>
      <c r="I912" s="786">
        <f>+J879*G912+E912</f>
        <v>420074.79070218239</v>
      </c>
      <c r="J912" s="783">
        <f t="shared" si="81"/>
        <v>0</v>
      </c>
      <c r="K912" s="783"/>
      <c r="L912" s="1304"/>
      <c r="M912" s="783">
        <f t="shared" si="82"/>
        <v>0</v>
      </c>
      <c r="N912" s="1304"/>
      <c r="O912" s="783">
        <f t="shared" si="83"/>
        <v>0</v>
      </c>
      <c r="P912" s="783">
        <f t="shared" si="84"/>
        <v>0</v>
      </c>
    </row>
    <row r="913" spans="3:16">
      <c r="C913" s="779">
        <f>IF(D877="","-",+C912+1)</f>
        <v>2046</v>
      </c>
      <c r="D913" s="727">
        <f t="shared" si="85"/>
        <v>1502111.0074768467</v>
      </c>
      <c r="E913" s="780">
        <f t="shared" si="86"/>
        <v>234095.22194444446</v>
      </c>
      <c r="F913" s="780">
        <f t="shared" si="79"/>
        <v>1268015.7855324023</v>
      </c>
      <c r="G913" s="727">
        <f t="shared" si="80"/>
        <v>1385063.3965046245</v>
      </c>
      <c r="H913" s="785">
        <f>+J878*G913+E913</f>
        <v>393186.17835166596</v>
      </c>
      <c r="I913" s="786">
        <f>+J879*G913+E913</f>
        <v>393186.17835166596</v>
      </c>
      <c r="J913" s="783">
        <f t="shared" si="81"/>
        <v>0</v>
      </c>
      <c r="K913" s="783"/>
      <c r="L913" s="1304"/>
      <c r="M913" s="783">
        <f t="shared" si="82"/>
        <v>0</v>
      </c>
      <c r="N913" s="1304"/>
      <c r="O913" s="783">
        <f t="shared" si="83"/>
        <v>0</v>
      </c>
      <c r="P913" s="783">
        <f t="shared" si="84"/>
        <v>0</v>
      </c>
    </row>
    <row r="914" spans="3:16">
      <c r="C914" s="779">
        <f>IF(D877="","-",+C913+1)</f>
        <v>2047</v>
      </c>
      <c r="D914" s="727">
        <f t="shared" si="85"/>
        <v>1268015.7855324023</v>
      </c>
      <c r="E914" s="780">
        <f t="shared" si="86"/>
        <v>234095.22194444446</v>
      </c>
      <c r="F914" s="780">
        <f t="shared" si="79"/>
        <v>1033920.5635879579</v>
      </c>
      <c r="G914" s="727">
        <f t="shared" si="80"/>
        <v>1150968.1745601802</v>
      </c>
      <c r="H914" s="785">
        <f>+J878*G914+E914</f>
        <v>366297.56600114959</v>
      </c>
      <c r="I914" s="786">
        <f>+J879*G914+E914</f>
        <v>366297.56600114959</v>
      </c>
      <c r="J914" s="783">
        <f t="shared" si="81"/>
        <v>0</v>
      </c>
      <c r="K914" s="783"/>
      <c r="L914" s="1304"/>
      <c r="M914" s="783">
        <f t="shared" si="82"/>
        <v>0</v>
      </c>
      <c r="N914" s="1304"/>
      <c r="O914" s="783">
        <f t="shared" si="83"/>
        <v>0</v>
      </c>
      <c r="P914" s="783">
        <f t="shared" si="84"/>
        <v>0</v>
      </c>
    </row>
    <row r="915" spans="3:16">
      <c r="C915" s="779">
        <f>IF(D877="","-",+C914+1)</f>
        <v>2048</v>
      </c>
      <c r="D915" s="727">
        <f t="shared" si="85"/>
        <v>1033920.5635879579</v>
      </c>
      <c r="E915" s="780">
        <f t="shared" si="86"/>
        <v>234095.22194444446</v>
      </c>
      <c r="F915" s="780">
        <f t="shared" si="79"/>
        <v>799825.34164351341</v>
      </c>
      <c r="G915" s="727">
        <f t="shared" si="80"/>
        <v>916872.95261573559</v>
      </c>
      <c r="H915" s="785">
        <f>+J878*G915+E915</f>
        <v>339408.95365063316</v>
      </c>
      <c r="I915" s="786">
        <f>+J879*G915+E915</f>
        <v>339408.95365063316</v>
      </c>
      <c r="J915" s="783">
        <f t="shared" si="81"/>
        <v>0</v>
      </c>
      <c r="K915" s="783"/>
      <c r="L915" s="1304"/>
      <c r="M915" s="783">
        <f t="shared" si="82"/>
        <v>0</v>
      </c>
      <c r="N915" s="1304"/>
      <c r="O915" s="783">
        <f t="shared" si="83"/>
        <v>0</v>
      </c>
      <c r="P915" s="783">
        <f t="shared" si="84"/>
        <v>0</v>
      </c>
    </row>
    <row r="916" spans="3:16">
      <c r="C916" s="779">
        <f>IF(D877="","-",+C915+1)</f>
        <v>2049</v>
      </c>
      <c r="D916" s="727">
        <f t="shared" si="85"/>
        <v>799825.34164351341</v>
      </c>
      <c r="E916" s="780">
        <f t="shared" si="86"/>
        <v>234095.22194444446</v>
      </c>
      <c r="F916" s="780">
        <f t="shared" si="79"/>
        <v>565730.11969906895</v>
      </c>
      <c r="G916" s="727">
        <f t="shared" si="80"/>
        <v>682777.73067129124</v>
      </c>
      <c r="H916" s="785">
        <f>+J878*G916+E916</f>
        <v>312520.34130011674</v>
      </c>
      <c r="I916" s="786">
        <f>+J879*G916+E916</f>
        <v>312520.34130011674</v>
      </c>
      <c r="J916" s="783">
        <f t="shared" si="81"/>
        <v>0</v>
      </c>
      <c r="K916" s="783"/>
      <c r="L916" s="1304"/>
      <c r="M916" s="783">
        <f t="shared" si="82"/>
        <v>0</v>
      </c>
      <c r="N916" s="1304"/>
      <c r="O916" s="783">
        <f t="shared" si="83"/>
        <v>0</v>
      </c>
      <c r="P916" s="783">
        <f t="shared" si="84"/>
        <v>0</v>
      </c>
    </row>
    <row r="917" spans="3:16">
      <c r="C917" s="779">
        <f>IF(D877="","-",+C916+1)</f>
        <v>2050</v>
      </c>
      <c r="D917" s="727">
        <f t="shared" si="85"/>
        <v>565730.11969906895</v>
      </c>
      <c r="E917" s="780">
        <f t="shared" si="86"/>
        <v>234095.22194444446</v>
      </c>
      <c r="F917" s="780">
        <f t="shared" si="79"/>
        <v>331634.89775462449</v>
      </c>
      <c r="G917" s="727">
        <f t="shared" si="80"/>
        <v>448682.50872684672</v>
      </c>
      <c r="H917" s="785">
        <f>+J878*G917+E917</f>
        <v>285631.72894960037</v>
      </c>
      <c r="I917" s="786">
        <f>+J879*G917+E917</f>
        <v>285631.72894960037</v>
      </c>
      <c r="J917" s="783">
        <f t="shared" si="81"/>
        <v>0</v>
      </c>
      <c r="K917" s="783"/>
      <c r="L917" s="1304"/>
      <c r="M917" s="783">
        <f t="shared" si="82"/>
        <v>0</v>
      </c>
      <c r="N917" s="1304"/>
      <c r="O917" s="783">
        <f t="shared" si="83"/>
        <v>0</v>
      </c>
      <c r="P917" s="783">
        <f t="shared" si="84"/>
        <v>0</v>
      </c>
    </row>
    <row r="918" spans="3:16">
      <c r="C918" s="779">
        <f>IF(D877="","-",+C917+1)</f>
        <v>2051</v>
      </c>
      <c r="D918" s="727">
        <f t="shared" si="85"/>
        <v>331634.89775462449</v>
      </c>
      <c r="E918" s="780">
        <f t="shared" si="86"/>
        <v>234095.22194444446</v>
      </c>
      <c r="F918" s="780">
        <f t="shared" si="79"/>
        <v>97539.675810180022</v>
      </c>
      <c r="G918" s="727">
        <f t="shared" si="80"/>
        <v>214587.28678240225</v>
      </c>
      <c r="H918" s="785">
        <f>+J878*G918+E918</f>
        <v>258743.11659908391</v>
      </c>
      <c r="I918" s="786">
        <f>+J879*G918+E918</f>
        <v>258743.11659908391</v>
      </c>
      <c r="J918" s="783">
        <f t="shared" si="81"/>
        <v>0</v>
      </c>
      <c r="K918" s="783"/>
      <c r="L918" s="1304"/>
      <c r="M918" s="783">
        <f t="shared" si="82"/>
        <v>0</v>
      </c>
      <c r="N918" s="1304"/>
      <c r="O918" s="783">
        <f t="shared" si="83"/>
        <v>0</v>
      </c>
      <c r="P918" s="783">
        <f t="shared" si="84"/>
        <v>0</v>
      </c>
    </row>
    <row r="919" spans="3:16">
      <c r="C919" s="779">
        <f>IF(D877="","-",+C918+1)</f>
        <v>2052</v>
      </c>
      <c r="D919" s="727">
        <f t="shared" si="85"/>
        <v>97539.675810180022</v>
      </c>
      <c r="E919" s="780">
        <f t="shared" si="86"/>
        <v>97539.675810180022</v>
      </c>
      <c r="F919" s="780">
        <f t="shared" si="79"/>
        <v>0</v>
      </c>
      <c r="G919" s="727">
        <f t="shared" si="80"/>
        <v>48769.837905090011</v>
      </c>
      <c r="H919" s="785">
        <f>+J878*G919+E919</f>
        <v>103141.47004987065</v>
      </c>
      <c r="I919" s="786">
        <f>+J879*G919+E919</f>
        <v>103141.47004987065</v>
      </c>
      <c r="J919" s="783">
        <f t="shared" si="81"/>
        <v>0</v>
      </c>
      <c r="K919" s="783"/>
      <c r="L919" s="1304"/>
      <c r="M919" s="783">
        <f t="shared" si="82"/>
        <v>0</v>
      </c>
      <c r="N919" s="1304"/>
      <c r="O919" s="783">
        <f t="shared" si="83"/>
        <v>0</v>
      </c>
      <c r="P919" s="783">
        <f t="shared" si="84"/>
        <v>0</v>
      </c>
    </row>
    <row r="920" spans="3:16">
      <c r="C920" s="779">
        <f>IF(D877="","-",+C919+1)</f>
        <v>2053</v>
      </c>
      <c r="D920" s="727">
        <f t="shared" si="85"/>
        <v>0</v>
      </c>
      <c r="E920" s="780">
        <f t="shared" si="86"/>
        <v>0</v>
      </c>
      <c r="F920" s="780">
        <f t="shared" si="79"/>
        <v>0</v>
      </c>
      <c r="G920" s="727">
        <f t="shared" si="80"/>
        <v>0</v>
      </c>
      <c r="H920" s="785">
        <f>+J878*G920+E920</f>
        <v>0</v>
      </c>
      <c r="I920" s="786">
        <f>+J879*G920+E920</f>
        <v>0</v>
      </c>
      <c r="J920" s="783">
        <f t="shared" si="81"/>
        <v>0</v>
      </c>
      <c r="K920" s="783"/>
      <c r="L920" s="1304"/>
      <c r="M920" s="783">
        <f t="shared" si="82"/>
        <v>0</v>
      </c>
      <c r="N920" s="1304"/>
      <c r="O920" s="783">
        <f t="shared" si="83"/>
        <v>0</v>
      </c>
      <c r="P920" s="783">
        <f t="shared" si="84"/>
        <v>0</v>
      </c>
    </row>
    <row r="921" spans="3:16">
      <c r="C921" s="779">
        <f>IF(D877="","-",+C920+1)</f>
        <v>2054</v>
      </c>
      <c r="D921" s="727">
        <f t="shared" si="85"/>
        <v>0</v>
      </c>
      <c r="E921" s="780">
        <f t="shared" si="86"/>
        <v>0</v>
      </c>
      <c r="F921" s="780">
        <f t="shared" si="79"/>
        <v>0</v>
      </c>
      <c r="G921" s="727">
        <f t="shared" si="80"/>
        <v>0</v>
      </c>
      <c r="H921" s="785">
        <f>+J878*G921+E921</f>
        <v>0</v>
      </c>
      <c r="I921" s="786">
        <f>+J879*G921+E921</f>
        <v>0</v>
      </c>
      <c r="J921" s="783">
        <f t="shared" si="81"/>
        <v>0</v>
      </c>
      <c r="K921" s="783"/>
      <c r="L921" s="1304"/>
      <c r="M921" s="783">
        <f t="shared" si="82"/>
        <v>0</v>
      </c>
      <c r="N921" s="1304"/>
      <c r="O921" s="783">
        <f t="shared" si="83"/>
        <v>0</v>
      </c>
      <c r="P921" s="783">
        <f t="shared" si="84"/>
        <v>0</v>
      </c>
    </row>
    <row r="922" spans="3:16">
      <c r="C922" s="779">
        <f>IF(D877="","-",+C921+1)</f>
        <v>2055</v>
      </c>
      <c r="D922" s="727">
        <f t="shared" si="85"/>
        <v>0</v>
      </c>
      <c r="E922" s="780">
        <f t="shared" si="86"/>
        <v>0</v>
      </c>
      <c r="F922" s="780">
        <f t="shared" si="79"/>
        <v>0</v>
      </c>
      <c r="G922" s="727">
        <f t="shared" si="80"/>
        <v>0</v>
      </c>
      <c r="H922" s="785">
        <f>+J878*G922+E922</f>
        <v>0</v>
      </c>
      <c r="I922" s="786">
        <f>+J879*G922+E922</f>
        <v>0</v>
      </c>
      <c r="J922" s="783">
        <f t="shared" si="81"/>
        <v>0</v>
      </c>
      <c r="K922" s="783"/>
      <c r="L922" s="1304"/>
      <c r="M922" s="783">
        <f t="shared" si="82"/>
        <v>0</v>
      </c>
      <c r="N922" s="1304"/>
      <c r="O922" s="783">
        <f t="shared" si="83"/>
        <v>0</v>
      </c>
      <c r="P922" s="783">
        <f t="shared" si="84"/>
        <v>0</v>
      </c>
    </row>
    <row r="923" spans="3:16">
      <c r="C923" s="779">
        <f>IF(D877="","-",+C922+1)</f>
        <v>2056</v>
      </c>
      <c r="D923" s="727">
        <f t="shared" si="85"/>
        <v>0</v>
      </c>
      <c r="E923" s="780">
        <f t="shared" si="86"/>
        <v>0</v>
      </c>
      <c r="F923" s="780">
        <f t="shared" si="79"/>
        <v>0</v>
      </c>
      <c r="G923" s="727">
        <f t="shared" si="80"/>
        <v>0</v>
      </c>
      <c r="H923" s="785">
        <f>+J878*G923+E923</f>
        <v>0</v>
      </c>
      <c r="I923" s="786">
        <f>+J879*G923+E923</f>
        <v>0</v>
      </c>
      <c r="J923" s="783">
        <f t="shared" si="81"/>
        <v>0</v>
      </c>
      <c r="K923" s="783"/>
      <c r="L923" s="1304"/>
      <c r="M923" s="783">
        <f t="shared" si="82"/>
        <v>0</v>
      </c>
      <c r="N923" s="1304"/>
      <c r="O923" s="783">
        <f t="shared" si="83"/>
        <v>0</v>
      </c>
      <c r="P923" s="783">
        <f t="shared" si="84"/>
        <v>0</v>
      </c>
    </row>
    <row r="924" spans="3:16">
      <c r="C924" s="779">
        <f>IF(D877="","-",+C923+1)</f>
        <v>2057</v>
      </c>
      <c r="D924" s="727">
        <f t="shared" si="85"/>
        <v>0</v>
      </c>
      <c r="E924" s="780">
        <f t="shared" si="86"/>
        <v>0</v>
      </c>
      <c r="F924" s="780">
        <f t="shared" si="79"/>
        <v>0</v>
      </c>
      <c r="G924" s="727">
        <f t="shared" si="80"/>
        <v>0</v>
      </c>
      <c r="H924" s="785">
        <f>+J878*G924+E924</f>
        <v>0</v>
      </c>
      <c r="I924" s="786">
        <f>+J879*G924+E924</f>
        <v>0</v>
      </c>
      <c r="J924" s="783">
        <f t="shared" si="81"/>
        <v>0</v>
      </c>
      <c r="K924" s="783"/>
      <c r="L924" s="1304"/>
      <c r="M924" s="783">
        <f t="shared" si="82"/>
        <v>0</v>
      </c>
      <c r="N924" s="1304"/>
      <c r="O924" s="783">
        <f t="shared" si="83"/>
        <v>0</v>
      </c>
      <c r="P924" s="783">
        <f t="shared" si="84"/>
        <v>0</v>
      </c>
    </row>
    <row r="925" spans="3:16">
      <c r="C925" s="779">
        <f>IF(D877="","-",+C924+1)</f>
        <v>2058</v>
      </c>
      <c r="D925" s="727">
        <f t="shared" si="85"/>
        <v>0</v>
      </c>
      <c r="E925" s="780">
        <f t="shared" si="86"/>
        <v>0</v>
      </c>
      <c r="F925" s="780">
        <f t="shared" si="79"/>
        <v>0</v>
      </c>
      <c r="G925" s="727">
        <f t="shared" si="80"/>
        <v>0</v>
      </c>
      <c r="H925" s="785">
        <f>+J878*G925+E925</f>
        <v>0</v>
      </c>
      <c r="I925" s="786">
        <f>+J879*G925+E925</f>
        <v>0</v>
      </c>
      <c r="J925" s="783">
        <f t="shared" si="81"/>
        <v>0</v>
      </c>
      <c r="K925" s="783"/>
      <c r="L925" s="1304"/>
      <c r="M925" s="783">
        <f t="shared" si="82"/>
        <v>0</v>
      </c>
      <c r="N925" s="1304"/>
      <c r="O925" s="783">
        <f t="shared" si="83"/>
        <v>0</v>
      </c>
      <c r="P925" s="783">
        <f t="shared" si="84"/>
        <v>0</v>
      </c>
    </row>
    <row r="926" spans="3:16">
      <c r="C926" s="779">
        <f>IF(D877="","-",+C925+1)</f>
        <v>2059</v>
      </c>
      <c r="D926" s="727">
        <f t="shared" si="85"/>
        <v>0</v>
      </c>
      <c r="E926" s="780">
        <f t="shared" si="86"/>
        <v>0</v>
      </c>
      <c r="F926" s="780">
        <f t="shared" si="79"/>
        <v>0</v>
      </c>
      <c r="G926" s="727">
        <f t="shared" si="80"/>
        <v>0</v>
      </c>
      <c r="H926" s="785">
        <f>+J878*G926+E926</f>
        <v>0</v>
      </c>
      <c r="I926" s="786">
        <f>+J879*G926+E926</f>
        <v>0</v>
      </c>
      <c r="J926" s="783">
        <f t="shared" si="81"/>
        <v>0</v>
      </c>
      <c r="K926" s="783"/>
      <c r="L926" s="1304"/>
      <c r="M926" s="783">
        <f t="shared" si="82"/>
        <v>0</v>
      </c>
      <c r="N926" s="1304"/>
      <c r="O926" s="783">
        <f t="shared" si="83"/>
        <v>0</v>
      </c>
      <c r="P926" s="783">
        <f t="shared" si="84"/>
        <v>0</v>
      </c>
    </row>
    <row r="927" spans="3:16">
      <c r="C927" s="779">
        <f>IF(D877="","-",+C926+1)</f>
        <v>2060</v>
      </c>
      <c r="D927" s="727">
        <f t="shared" si="85"/>
        <v>0</v>
      </c>
      <c r="E927" s="780">
        <f t="shared" si="86"/>
        <v>0</v>
      </c>
      <c r="F927" s="780">
        <f t="shared" si="79"/>
        <v>0</v>
      </c>
      <c r="G927" s="727">
        <f t="shared" si="80"/>
        <v>0</v>
      </c>
      <c r="H927" s="785">
        <f>+J878*G927+E927</f>
        <v>0</v>
      </c>
      <c r="I927" s="786">
        <f>+J879*G927+E927</f>
        <v>0</v>
      </c>
      <c r="J927" s="783">
        <f t="shared" si="81"/>
        <v>0</v>
      </c>
      <c r="K927" s="783"/>
      <c r="L927" s="1304"/>
      <c r="M927" s="783">
        <f t="shared" si="82"/>
        <v>0</v>
      </c>
      <c r="N927" s="1304"/>
      <c r="O927" s="783">
        <f t="shared" si="83"/>
        <v>0</v>
      </c>
      <c r="P927" s="783">
        <f t="shared" si="84"/>
        <v>0</v>
      </c>
    </row>
    <row r="928" spans="3:16">
      <c r="C928" s="779">
        <f>IF(D877="","-",+C927+1)</f>
        <v>2061</v>
      </c>
      <c r="D928" s="727">
        <f t="shared" si="85"/>
        <v>0</v>
      </c>
      <c r="E928" s="780">
        <f t="shared" si="86"/>
        <v>0</v>
      </c>
      <c r="F928" s="780">
        <f t="shared" si="79"/>
        <v>0</v>
      </c>
      <c r="G928" s="727">
        <f t="shared" si="80"/>
        <v>0</v>
      </c>
      <c r="H928" s="785">
        <f>+J878*G928+E928</f>
        <v>0</v>
      </c>
      <c r="I928" s="786">
        <f>+J879*G928+E928</f>
        <v>0</v>
      </c>
      <c r="J928" s="783">
        <f t="shared" si="81"/>
        <v>0</v>
      </c>
      <c r="K928" s="783"/>
      <c r="L928" s="1304"/>
      <c r="M928" s="783">
        <f t="shared" si="82"/>
        <v>0</v>
      </c>
      <c r="N928" s="1304"/>
      <c r="O928" s="783">
        <f t="shared" si="83"/>
        <v>0</v>
      </c>
      <c r="P928" s="783">
        <f t="shared" si="84"/>
        <v>0</v>
      </c>
    </row>
    <row r="929" spans="3:16">
      <c r="C929" s="779">
        <f>IF(D877="","-",+C928+1)</f>
        <v>2062</v>
      </c>
      <c r="D929" s="727">
        <f t="shared" si="85"/>
        <v>0</v>
      </c>
      <c r="E929" s="780">
        <f t="shared" si="86"/>
        <v>0</v>
      </c>
      <c r="F929" s="780">
        <f t="shared" si="79"/>
        <v>0</v>
      </c>
      <c r="G929" s="727">
        <f t="shared" si="80"/>
        <v>0</v>
      </c>
      <c r="H929" s="785">
        <f>+J878*G929+E929</f>
        <v>0</v>
      </c>
      <c r="I929" s="786">
        <f>+J879*G929+E929</f>
        <v>0</v>
      </c>
      <c r="J929" s="783">
        <f t="shared" si="81"/>
        <v>0</v>
      </c>
      <c r="K929" s="783"/>
      <c r="L929" s="1304"/>
      <c r="M929" s="783">
        <f t="shared" si="82"/>
        <v>0</v>
      </c>
      <c r="N929" s="1304"/>
      <c r="O929" s="783">
        <f t="shared" si="83"/>
        <v>0</v>
      </c>
      <c r="P929" s="783">
        <f t="shared" si="84"/>
        <v>0</v>
      </c>
    </row>
    <row r="930" spans="3:16">
      <c r="C930" s="779">
        <f>IF(D877="","-",+C929+1)</f>
        <v>2063</v>
      </c>
      <c r="D930" s="727">
        <f t="shared" si="85"/>
        <v>0</v>
      </c>
      <c r="E930" s="780">
        <f t="shared" si="86"/>
        <v>0</v>
      </c>
      <c r="F930" s="780">
        <f t="shared" si="79"/>
        <v>0</v>
      </c>
      <c r="G930" s="727">
        <f t="shared" si="80"/>
        <v>0</v>
      </c>
      <c r="H930" s="785">
        <f>+J878*G930+E930</f>
        <v>0</v>
      </c>
      <c r="I930" s="786">
        <f>+J879*G930+E930</f>
        <v>0</v>
      </c>
      <c r="J930" s="783">
        <f t="shared" si="81"/>
        <v>0</v>
      </c>
      <c r="K930" s="783"/>
      <c r="L930" s="1304"/>
      <c r="M930" s="783">
        <f t="shared" si="82"/>
        <v>0</v>
      </c>
      <c r="N930" s="1304"/>
      <c r="O930" s="783">
        <f t="shared" si="83"/>
        <v>0</v>
      </c>
      <c r="P930" s="783">
        <f t="shared" si="84"/>
        <v>0</v>
      </c>
    </row>
    <row r="931" spans="3:16">
      <c r="C931" s="779">
        <f>IF(D877="","-",+C930+1)</f>
        <v>2064</v>
      </c>
      <c r="D931" s="727">
        <f t="shared" si="85"/>
        <v>0</v>
      </c>
      <c r="E931" s="780">
        <f t="shared" si="86"/>
        <v>0</v>
      </c>
      <c r="F931" s="780">
        <f t="shared" si="79"/>
        <v>0</v>
      </c>
      <c r="G931" s="727">
        <f t="shared" si="80"/>
        <v>0</v>
      </c>
      <c r="H931" s="785">
        <f>+J878*G931+E931</f>
        <v>0</v>
      </c>
      <c r="I931" s="786">
        <f>+J879*G931+E931</f>
        <v>0</v>
      </c>
      <c r="J931" s="783">
        <f t="shared" si="81"/>
        <v>0</v>
      </c>
      <c r="K931" s="783"/>
      <c r="L931" s="1304"/>
      <c r="M931" s="783">
        <f t="shared" si="82"/>
        <v>0</v>
      </c>
      <c r="N931" s="1304"/>
      <c r="O931" s="783">
        <f t="shared" si="83"/>
        <v>0</v>
      </c>
      <c r="P931" s="783">
        <f t="shared" si="84"/>
        <v>0</v>
      </c>
    </row>
    <row r="932" spans="3:16">
      <c r="C932" s="779">
        <f>IF(D877="","-",+C931+1)</f>
        <v>2065</v>
      </c>
      <c r="D932" s="727">
        <f t="shared" si="85"/>
        <v>0</v>
      </c>
      <c r="E932" s="780">
        <f t="shared" si="86"/>
        <v>0</v>
      </c>
      <c r="F932" s="780">
        <f t="shared" si="79"/>
        <v>0</v>
      </c>
      <c r="G932" s="727">
        <f t="shared" si="80"/>
        <v>0</v>
      </c>
      <c r="H932" s="785">
        <f>+J878*G932+E932</f>
        <v>0</v>
      </c>
      <c r="I932" s="786">
        <f>+J879*G932+E932</f>
        <v>0</v>
      </c>
      <c r="J932" s="783">
        <f t="shared" si="81"/>
        <v>0</v>
      </c>
      <c r="K932" s="783"/>
      <c r="L932" s="1304"/>
      <c r="M932" s="783">
        <f t="shared" si="82"/>
        <v>0</v>
      </c>
      <c r="N932" s="1304"/>
      <c r="O932" s="783">
        <f t="shared" si="83"/>
        <v>0</v>
      </c>
      <c r="P932" s="783">
        <f t="shared" si="84"/>
        <v>0</v>
      </c>
    </row>
    <row r="933" spans="3:16">
      <c r="C933" s="779">
        <f>IF(D877="","-",+C932+1)</f>
        <v>2066</v>
      </c>
      <c r="D933" s="727">
        <f t="shared" si="85"/>
        <v>0</v>
      </c>
      <c r="E933" s="780">
        <f t="shared" si="86"/>
        <v>0</v>
      </c>
      <c r="F933" s="780">
        <f t="shared" si="79"/>
        <v>0</v>
      </c>
      <c r="G933" s="727">
        <f t="shared" si="80"/>
        <v>0</v>
      </c>
      <c r="H933" s="785">
        <f>+J878*G933+E933</f>
        <v>0</v>
      </c>
      <c r="I933" s="786">
        <f>+J879*G933+E933</f>
        <v>0</v>
      </c>
      <c r="J933" s="783">
        <f t="shared" si="81"/>
        <v>0</v>
      </c>
      <c r="K933" s="783"/>
      <c r="L933" s="1304"/>
      <c r="M933" s="783">
        <f t="shared" si="82"/>
        <v>0</v>
      </c>
      <c r="N933" s="1304"/>
      <c r="O933" s="783">
        <f t="shared" si="83"/>
        <v>0</v>
      </c>
      <c r="P933" s="783">
        <f t="shared" si="84"/>
        <v>0</v>
      </c>
    </row>
    <row r="934" spans="3:16">
      <c r="C934" s="779">
        <f>IF(D877="","-",+C933+1)</f>
        <v>2067</v>
      </c>
      <c r="D934" s="727">
        <f t="shared" si="85"/>
        <v>0</v>
      </c>
      <c r="E934" s="780">
        <f t="shared" si="86"/>
        <v>0</v>
      </c>
      <c r="F934" s="780">
        <f t="shared" si="79"/>
        <v>0</v>
      </c>
      <c r="G934" s="727">
        <f t="shared" si="80"/>
        <v>0</v>
      </c>
      <c r="H934" s="785">
        <f>+J878*G934+E934</f>
        <v>0</v>
      </c>
      <c r="I934" s="786">
        <f>+J879*G934+E934</f>
        <v>0</v>
      </c>
      <c r="J934" s="783">
        <f t="shared" si="81"/>
        <v>0</v>
      </c>
      <c r="K934" s="783"/>
      <c r="L934" s="1304"/>
      <c r="M934" s="783">
        <f t="shared" si="82"/>
        <v>0</v>
      </c>
      <c r="N934" s="1304"/>
      <c r="O934" s="783">
        <f t="shared" si="83"/>
        <v>0</v>
      </c>
      <c r="P934" s="783">
        <f t="shared" si="84"/>
        <v>0</v>
      </c>
    </row>
    <row r="935" spans="3:16">
      <c r="C935" s="779">
        <f>IF(D877="","-",+C934+1)</f>
        <v>2068</v>
      </c>
      <c r="D935" s="727">
        <f t="shared" si="85"/>
        <v>0</v>
      </c>
      <c r="E935" s="780">
        <f t="shared" si="86"/>
        <v>0</v>
      </c>
      <c r="F935" s="780">
        <f t="shared" si="79"/>
        <v>0</v>
      </c>
      <c r="G935" s="727">
        <f t="shared" si="80"/>
        <v>0</v>
      </c>
      <c r="H935" s="785">
        <f>+J878*G935+E935</f>
        <v>0</v>
      </c>
      <c r="I935" s="786">
        <f>+J879*G935+E935</f>
        <v>0</v>
      </c>
      <c r="J935" s="783">
        <f t="shared" si="81"/>
        <v>0</v>
      </c>
      <c r="K935" s="783"/>
      <c r="L935" s="1304"/>
      <c r="M935" s="783">
        <f t="shared" si="82"/>
        <v>0</v>
      </c>
      <c r="N935" s="1304"/>
      <c r="O935" s="783">
        <f t="shared" si="83"/>
        <v>0</v>
      </c>
      <c r="P935" s="783">
        <f t="shared" si="84"/>
        <v>0</v>
      </c>
    </row>
    <row r="936" spans="3:16">
      <c r="C936" s="779">
        <f>IF(D877="","-",+C935+1)</f>
        <v>2069</v>
      </c>
      <c r="D936" s="727">
        <f t="shared" si="85"/>
        <v>0</v>
      </c>
      <c r="E936" s="780">
        <f t="shared" si="86"/>
        <v>0</v>
      </c>
      <c r="F936" s="780">
        <f t="shared" si="79"/>
        <v>0</v>
      </c>
      <c r="G936" s="727">
        <f t="shared" si="80"/>
        <v>0</v>
      </c>
      <c r="H936" s="785">
        <f>+J878*G936+E936</f>
        <v>0</v>
      </c>
      <c r="I936" s="786">
        <f>+J879*G936+E936</f>
        <v>0</v>
      </c>
      <c r="J936" s="783">
        <f t="shared" si="81"/>
        <v>0</v>
      </c>
      <c r="K936" s="783"/>
      <c r="L936" s="1304"/>
      <c r="M936" s="783">
        <f t="shared" si="82"/>
        <v>0</v>
      </c>
      <c r="N936" s="1304"/>
      <c r="O936" s="783">
        <f t="shared" si="83"/>
        <v>0</v>
      </c>
      <c r="P936" s="783">
        <f t="shared" si="84"/>
        <v>0</v>
      </c>
    </row>
    <row r="937" spans="3:16">
      <c r="C937" s="779">
        <f>IF(D877="","-",+C936+1)</f>
        <v>2070</v>
      </c>
      <c r="D937" s="727">
        <f t="shared" si="85"/>
        <v>0</v>
      </c>
      <c r="E937" s="780">
        <f t="shared" si="86"/>
        <v>0</v>
      </c>
      <c r="F937" s="780">
        <f t="shared" si="79"/>
        <v>0</v>
      </c>
      <c r="G937" s="727">
        <f t="shared" si="80"/>
        <v>0</v>
      </c>
      <c r="H937" s="785">
        <f>+J878*G937+E937</f>
        <v>0</v>
      </c>
      <c r="I937" s="786">
        <f>+J879*G937+E937</f>
        <v>0</v>
      </c>
      <c r="J937" s="783">
        <f t="shared" si="81"/>
        <v>0</v>
      </c>
      <c r="K937" s="783"/>
      <c r="L937" s="1304"/>
      <c r="M937" s="783">
        <f t="shared" si="82"/>
        <v>0</v>
      </c>
      <c r="N937" s="1304"/>
      <c r="O937" s="783">
        <f t="shared" si="83"/>
        <v>0</v>
      </c>
      <c r="P937" s="783">
        <f t="shared" si="84"/>
        <v>0</v>
      </c>
    </row>
    <row r="938" spans="3:16">
      <c r="C938" s="779">
        <f>IF(D877="","-",+C937+1)</f>
        <v>2071</v>
      </c>
      <c r="D938" s="727">
        <f t="shared" si="85"/>
        <v>0</v>
      </c>
      <c r="E938" s="780">
        <f t="shared" si="86"/>
        <v>0</v>
      </c>
      <c r="F938" s="780">
        <f t="shared" si="79"/>
        <v>0</v>
      </c>
      <c r="G938" s="727">
        <f t="shared" si="80"/>
        <v>0</v>
      </c>
      <c r="H938" s="785">
        <f>+J878*G938+E938</f>
        <v>0</v>
      </c>
      <c r="I938" s="786">
        <f>+J879*G938+E938</f>
        <v>0</v>
      </c>
      <c r="J938" s="783">
        <f t="shared" si="81"/>
        <v>0</v>
      </c>
      <c r="K938" s="783"/>
      <c r="L938" s="1304"/>
      <c r="M938" s="783">
        <f t="shared" si="82"/>
        <v>0</v>
      </c>
      <c r="N938" s="1304"/>
      <c r="O938" s="783">
        <f t="shared" si="83"/>
        <v>0</v>
      </c>
      <c r="P938" s="783">
        <f t="shared" si="84"/>
        <v>0</v>
      </c>
    </row>
    <row r="939" spans="3:16">
      <c r="C939" s="779">
        <f>IF(D877="","-",+C938+1)</f>
        <v>2072</v>
      </c>
      <c r="D939" s="727">
        <f t="shared" si="85"/>
        <v>0</v>
      </c>
      <c r="E939" s="780">
        <f t="shared" si="86"/>
        <v>0</v>
      </c>
      <c r="F939" s="780">
        <f t="shared" si="79"/>
        <v>0</v>
      </c>
      <c r="G939" s="727">
        <f t="shared" si="80"/>
        <v>0</v>
      </c>
      <c r="H939" s="785">
        <f>+J878*G939+E939</f>
        <v>0</v>
      </c>
      <c r="I939" s="786">
        <f>+J879*G939+E939</f>
        <v>0</v>
      </c>
      <c r="J939" s="783">
        <f t="shared" si="81"/>
        <v>0</v>
      </c>
      <c r="K939" s="783"/>
      <c r="L939" s="1304"/>
      <c r="M939" s="783">
        <f t="shared" si="82"/>
        <v>0</v>
      </c>
      <c r="N939" s="1304"/>
      <c r="O939" s="783">
        <f t="shared" si="83"/>
        <v>0</v>
      </c>
      <c r="P939" s="783">
        <f t="shared" si="84"/>
        <v>0</v>
      </c>
    </row>
    <row r="940" spans="3:16">
      <c r="C940" s="779">
        <f>IF(D877="","-",+C939+1)</f>
        <v>2073</v>
      </c>
      <c r="D940" s="727">
        <f t="shared" si="85"/>
        <v>0</v>
      </c>
      <c r="E940" s="780">
        <f t="shared" si="86"/>
        <v>0</v>
      </c>
      <c r="F940" s="780">
        <f t="shared" si="79"/>
        <v>0</v>
      </c>
      <c r="G940" s="727">
        <f t="shared" si="80"/>
        <v>0</v>
      </c>
      <c r="H940" s="785">
        <f>+J878*G940+E940</f>
        <v>0</v>
      </c>
      <c r="I940" s="786">
        <f>+J879*G940+E940</f>
        <v>0</v>
      </c>
      <c r="J940" s="783">
        <f t="shared" si="81"/>
        <v>0</v>
      </c>
      <c r="K940" s="783"/>
      <c r="L940" s="1304"/>
      <c r="M940" s="783">
        <f t="shared" si="82"/>
        <v>0</v>
      </c>
      <c r="N940" s="1304"/>
      <c r="O940" s="783">
        <f t="shared" si="83"/>
        <v>0</v>
      </c>
      <c r="P940" s="783">
        <f t="shared" si="84"/>
        <v>0</v>
      </c>
    </row>
    <row r="941" spans="3:16">
      <c r="C941" s="779">
        <f>IF(D877="","-",+C940+1)</f>
        <v>2074</v>
      </c>
      <c r="D941" s="727">
        <f t="shared" si="85"/>
        <v>0</v>
      </c>
      <c r="E941" s="780">
        <f t="shared" si="86"/>
        <v>0</v>
      </c>
      <c r="F941" s="780">
        <f t="shared" si="79"/>
        <v>0</v>
      </c>
      <c r="G941" s="727">
        <f t="shared" si="80"/>
        <v>0</v>
      </c>
      <c r="H941" s="785">
        <f>+J878*G941+E941</f>
        <v>0</v>
      </c>
      <c r="I941" s="786">
        <f>+J879*G941+E941</f>
        <v>0</v>
      </c>
      <c r="J941" s="783">
        <f t="shared" si="81"/>
        <v>0</v>
      </c>
      <c r="K941" s="783"/>
      <c r="L941" s="1304"/>
      <c r="M941" s="783">
        <f t="shared" si="82"/>
        <v>0</v>
      </c>
      <c r="N941" s="1304"/>
      <c r="O941" s="783">
        <f t="shared" si="83"/>
        <v>0</v>
      </c>
      <c r="P941" s="783">
        <f t="shared" si="84"/>
        <v>0</v>
      </c>
    </row>
    <row r="942" spans="3:16" ht="13.5" thickBot="1">
      <c r="C942" s="789">
        <f>IF(D877="","-",+C941+1)</f>
        <v>2075</v>
      </c>
      <c r="D942" s="790">
        <f t="shared" si="85"/>
        <v>0</v>
      </c>
      <c r="E942" s="791">
        <f t="shared" si="86"/>
        <v>0</v>
      </c>
      <c r="F942" s="791">
        <f t="shared" si="79"/>
        <v>0</v>
      </c>
      <c r="G942" s="790">
        <f t="shared" si="80"/>
        <v>0</v>
      </c>
      <c r="H942" s="792">
        <f>+J878*G942+E942</f>
        <v>0</v>
      </c>
      <c r="I942" s="792">
        <f>+J879*G942+E942</f>
        <v>0</v>
      </c>
      <c r="J942" s="793">
        <f t="shared" si="81"/>
        <v>0</v>
      </c>
      <c r="K942" s="783"/>
      <c r="L942" s="1305"/>
      <c r="M942" s="793">
        <f t="shared" si="82"/>
        <v>0</v>
      </c>
      <c r="N942" s="1305"/>
      <c r="O942" s="793">
        <f t="shared" si="83"/>
        <v>0</v>
      </c>
      <c r="P942" s="793">
        <f t="shared" si="84"/>
        <v>0</v>
      </c>
    </row>
    <row r="943" spans="3:16">
      <c r="C943" s="727" t="s">
        <v>93</v>
      </c>
      <c r="D943" s="721"/>
      <c r="E943" s="721">
        <f>SUM(E883:E942)</f>
        <v>8427427.9900000002</v>
      </c>
      <c r="F943" s="721"/>
      <c r="G943" s="721"/>
      <c r="H943" s="721">
        <f>SUM(H883:H942)</f>
        <v>26254577.978392355</v>
      </c>
      <c r="I943" s="721">
        <f>SUM(I883:I942)</f>
        <v>26254577.978392355</v>
      </c>
      <c r="J943" s="721">
        <f>SUM(J883:J942)</f>
        <v>0</v>
      </c>
      <c r="K943" s="721"/>
      <c r="L943" s="721"/>
      <c r="M943" s="721"/>
      <c r="N943" s="721"/>
      <c r="O943" s="721"/>
    </row>
    <row r="944" spans="3:16">
      <c r="D944" s="529"/>
      <c r="E944" s="308"/>
      <c r="F944" s="308"/>
      <c r="G944" s="308"/>
      <c r="H944" s="308"/>
      <c r="I944" s="699"/>
      <c r="J944" s="699"/>
      <c r="K944" s="721"/>
      <c r="L944" s="699"/>
      <c r="M944" s="699"/>
      <c r="N944" s="699"/>
      <c r="O944" s="699"/>
    </row>
    <row r="945" spans="2:16">
      <c r="C945" s="308" t="s">
        <v>15</v>
      </c>
      <c r="D945" s="529"/>
      <c r="E945" s="308"/>
      <c r="F945" s="308"/>
      <c r="G945" s="308"/>
      <c r="H945" s="308"/>
      <c r="I945" s="699"/>
      <c r="J945" s="699"/>
      <c r="K945" s="721"/>
      <c r="L945" s="699"/>
      <c r="M945" s="699"/>
      <c r="N945" s="699"/>
      <c r="O945" s="699"/>
    </row>
    <row r="946" spans="2:16">
      <c r="C946" s="308"/>
      <c r="D946" s="529"/>
      <c r="E946" s="308"/>
      <c r="F946" s="308"/>
      <c r="G946" s="308"/>
      <c r="H946" s="308"/>
      <c r="I946" s="699"/>
      <c r="J946" s="699"/>
      <c r="K946" s="721"/>
      <c r="L946" s="699"/>
      <c r="M946" s="699"/>
      <c r="N946" s="699"/>
      <c r="O946" s="699"/>
    </row>
    <row r="947" spans="2:16">
      <c r="C947" s="740" t="s">
        <v>16</v>
      </c>
      <c r="D947" s="727"/>
      <c r="E947" s="727"/>
      <c r="F947" s="727"/>
      <c r="G947" s="727"/>
      <c r="H947" s="721"/>
      <c r="I947" s="721"/>
      <c r="J947" s="795"/>
      <c r="K947" s="795"/>
      <c r="L947" s="795"/>
      <c r="M947" s="795"/>
      <c r="N947" s="795"/>
      <c r="O947" s="795"/>
    </row>
    <row r="948" spans="2:16">
      <c r="C948" s="726" t="s">
        <v>273</v>
      </c>
      <c r="D948" s="727"/>
      <c r="E948" s="727"/>
      <c r="F948" s="727"/>
      <c r="G948" s="727"/>
      <c r="H948" s="721"/>
      <c r="I948" s="721"/>
      <c r="J948" s="795"/>
      <c r="K948" s="795"/>
      <c r="L948" s="795"/>
      <c r="M948" s="795"/>
      <c r="N948" s="795"/>
      <c r="O948" s="795"/>
    </row>
    <row r="949" spans="2:16">
      <c r="C949" s="726" t="s">
        <v>94</v>
      </c>
      <c r="D949" s="727"/>
      <c r="E949" s="727"/>
      <c r="F949" s="727"/>
      <c r="G949" s="727"/>
      <c r="H949" s="721"/>
      <c r="I949" s="721"/>
      <c r="J949" s="795"/>
      <c r="K949" s="795"/>
      <c r="L949" s="795"/>
      <c r="M949" s="795"/>
      <c r="N949" s="795"/>
      <c r="O949" s="795"/>
    </row>
    <row r="950" spans="2:16">
      <c r="C950" s="726"/>
      <c r="D950" s="727"/>
      <c r="E950" s="727"/>
      <c r="F950" s="727"/>
      <c r="G950" s="727"/>
      <c r="H950" s="721"/>
      <c r="I950" s="721"/>
      <c r="J950" s="795"/>
      <c r="K950" s="795"/>
      <c r="L950" s="795"/>
      <c r="M950" s="795"/>
      <c r="N950" s="795"/>
      <c r="O950" s="795"/>
    </row>
    <row r="951" spans="2:16" ht="18">
      <c r="B951" s="1467"/>
      <c r="C951" s="716"/>
      <c r="D951" s="529"/>
      <c r="E951" s="308"/>
      <c r="F951" s="698"/>
      <c r="G951" s="698"/>
      <c r="H951" s="308"/>
      <c r="I951" s="699"/>
      <c r="L951" s="555"/>
      <c r="M951" s="555"/>
      <c r="N951" s="555"/>
      <c r="O951" s="644" t="str">
        <f>"Page "&amp;SUM(Q$8:Q951)&amp;" of "</f>
        <v xml:space="preserve">Page 10 of </v>
      </c>
      <c r="P951" s="645">
        <f>COUNT(Q$8:Q$56657)</f>
        <v>10</v>
      </c>
    </row>
    <row r="952" spans="2:16">
      <c r="B952" s="1467"/>
      <c r="C952" s="308"/>
      <c r="D952" s="529"/>
      <c r="E952" s="308"/>
      <c r="F952" s="308"/>
      <c r="G952" s="308"/>
      <c r="H952" s="308"/>
      <c r="I952" s="699"/>
      <c r="J952" s="308"/>
      <c r="K952" s="418"/>
    </row>
    <row r="953" spans="2:16" ht="18">
      <c r="B953" s="648" t="s">
        <v>474</v>
      </c>
      <c r="C953" s="730" t="s">
        <v>95</v>
      </c>
      <c r="D953" s="529"/>
      <c r="E953" s="308"/>
      <c r="F953" s="308"/>
      <c r="G953" s="308"/>
      <c r="H953" s="308"/>
      <c r="I953" s="699"/>
      <c r="J953" s="699"/>
      <c r="K953" s="721"/>
      <c r="L953" s="699"/>
      <c r="M953" s="699"/>
      <c r="N953" s="699"/>
      <c r="O953" s="699"/>
    </row>
    <row r="954" spans="2:16" ht="18.75">
      <c r="B954" s="648"/>
      <c r="C954" s="647"/>
      <c r="D954" s="529"/>
      <c r="E954" s="308"/>
      <c r="F954" s="308"/>
      <c r="G954" s="308"/>
      <c r="H954" s="308"/>
      <c r="I954" s="699"/>
      <c r="J954" s="699"/>
      <c r="K954" s="721"/>
      <c r="L954" s="699"/>
      <c r="M954" s="699"/>
      <c r="N954" s="699"/>
      <c r="O954" s="699"/>
    </row>
    <row r="955" spans="2:16" ht="18.75">
      <c r="B955" s="648"/>
      <c r="C955" s="647" t="s">
        <v>96</v>
      </c>
      <c r="D955" s="529"/>
      <c r="E955" s="308"/>
      <c r="F955" s="308"/>
      <c r="G955" s="308"/>
      <c r="H955" s="308"/>
      <c r="I955" s="699"/>
      <c r="J955" s="699"/>
      <c r="K955" s="721"/>
      <c r="L955" s="699"/>
      <c r="M955" s="699"/>
      <c r="N955" s="699"/>
      <c r="O955" s="699"/>
    </row>
    <row r="956" spans="2:16" ht="15.75" thickBot="1">
      <c r="C956" s="239"/>
      <c r="D956" s="529"/>
      <c r="E956" s="308"/>
      <c r="F956" s="308"/>
      <c r="G956" s="308"/>
      <c r="H956" s="308"/>
      <c r="I956" s="699"/>
      <c r="J956" s="699"/>
      <c r="K956" s="721"/>
      <c r="L956" s="699"/>
      <c r="M956" s="699"/>
      <c r="N956" s="699"/>
      <c r="O956" s="699"/>
    </row>
    <row r="957" spans="2:16" ht="15.75">
      <c r="C957" s="650" t="s">
        <v>97</v>
      </c>
      <c r="D957" s="529"/>
      <c r="E957" s="308"/>
      <c r="F957" s="308"/>
      <c r="G957" s="308"/>
      <c r="H957" s="797"/>
      <c r="I957" s="308" t="s">
        <v>76</v>
      </c>
      <c r="J957" s="308"/>
      <c r="K957" s="418"/>
      <c r="L957" s="826">
        <f>+J963</f>
        <v>2022</v>
      </c>
      <c r="M957" s="807" t="s">
        <v>54</v>
      </c>
      <c r="N957" s="807" t="s">
        <v>55</v>
      </c>
      <c r="O957" s="808" t="s">
        <v>57</v>
      </c>
    </row>
    <row r="958" spans="2:16" ht="15.75">
      <c r="C958" s="650"/>
      <c r="D958" s="529"/>
      <c r="E958" s="308"/>
      <c r="F958" s="308"/>
      <c r="H958" s="308"/>
      <c r="I958" s="735"/>
      <c r="J958" s="735"/>
      <c r="K958" s="736"/>
      <c r="L958" s="827" t="s">
        <v>245</v>
      </c>
      <c r="M958" s="828">
        <f>VLOOKUP(J963,C970:P1029,10)</f>
        <v>0</v>
      </c>
      <c r="N958" s="828">
        <f>VLOOKUP(J963,C970:P1029,12)</f>
        <v>0</v>
      </c>
      <c r="O958" s="829">
        <f>+N958-M958</f>
        <v>0</v>
      </c>
    </row>
    <row r="959" spans="2:16">
      <c r="C959" s="740" t="s">
        <v>98</v>
      </c>
      <c r="D959" s="1553" t="s">
        <v>1037</v>
      </c>
      <c r="E959" s="1553"/>
      <c r="F959" s="1553"/>
      <c r="G959" s="1553"/>
      <c r="H959" s="1553"/>
      <c r="I959" s="1553"/>
      <c r="J959" s="699"/>
      <c r="K959" s="721"/>
      <c r="L959" s="827" t="s">
        <v>246</v>
      </c>
      <c r="M959" s="830">
        <f>VLOOKUP(J963,C970:P1029,6)</f>
        <v>21634.938568412887</v>
      </c>
      <c r="N959" s="830">
        <f>VLOOKUP(J963,C970:P1029,7)</f>
        <v>21634.938568412887</v>
      </c>
      <c r="O959" s="831">
        <f>+N959-M959</f>
        <v>0</v>
      </c>
    </row>
    <row r="960" spans="2:16" ht="13.5" thickBot="1">
      <c r="C960" s="744"/>
      <c r="D960" s="1553"/>
      <c r="E960" s="1553"/>
      <c r="F960" s="1553"/>
      <c r="G960" s="1553"/>
      <c r="H960" s="1553"/>
      <c r="I960" s="1553"/>
      <c r="J960" s="699"/>
      <c r="K960" s="721"/>
      <c r="L960" s="763" t="s">
        <v>247</v>
      </c>
      <c r="M960" s="832">
        <f>+M959-M958</f>
        <v>21634.938568412887</v>
      </c>
      <c r="N960" s="832">
        <f>+N959-N958</f>
        <v>21634.938568412887</v>
      </c>
      <c r="O960" s="833">
        <f>+O959-O958</f>
        <v>0</v>
      </c>
    </row>
    <row r="961" spans="2:16" ht="13.5" thickBot="1">
      <c r="C961" s="747"/>
      <c r="D961" s="748"/>
      <c r="E961" s="746"/>
      <c r="F961" s="746"/>
      <c r="G961" s="746"/>
      <c r="H961" s="746"/>
      <c r="I961" s="746"/>
      <c r="J961" s="746"/>
      <c r="K961" s="1468"/>
      <c r="L961" s="746"/>
      <c r="M961" s="746"/>
      <c r="N961" s="746"/>
      <c r="O961" s="746"/>
      <c r="P961" s="1467"/>
    </row>
    <row r="962" spans="2:16" ht="13.5" thickBot="1">
      <c r="C962" s="750" t="s">
        <v>99</v>
      </c>
      <c r="D962" s="751"/>
      <c r="E962" s="751"/>
      <c r="F962" s="751"/>
      <c r="G962" s="751"/>
      <c r="H962" s="751"/>
      <c r="I962" s="751"/>
      <c r="J962" s="751"/>
      <c r="K962" s="753"/>
      <c r="P962" s="754"/>
    </row>
    <row r="963" spans="2:16" ht="15">
      <c r="C963" s="755" t="s">
        <v>77</v>
      </c>
      <c r="D963" s="799">
        <v>166250</v>
      </c>
      <c r="E963" s="716" t="s">
        <v>78</v>
      </c>
      <c r="H963" s="756"/>
      <c r="I963" s="756"/>
      <c r="J963" s="757">
        <f>$J$93</f>
        <v>2022</v>
      </c>
      <c r="K963" s="545"/>
      <c r="L963" s="1554" t="s">
        <v>79</v>
      </c>
      <c r="M963" s="1554"/>
      <c r="N963" s="1554"/>
      <c r="O963" s="1554"/>
      <c r="P963" s="418"/>
    </row>
    <row r="964" spans="2:16">
      <c r="C964" s="755" t="s">
        <v>80</v>
      </c>
      <c r="D964" s="1301">
        <v>2022</v>
      </c>
      <c r="E964" s="755" t="s">
        <v>81</v>
      </c>
      <c r="F964" s="756"/>
      <c r="G964" s="756"/>
      <c r="I964" s="172"/>
      <c r="J964" s="801">
        <f>IF(H957="",0,$F$17)</f>
        <v>0</v>
      </c>
      <c r="K964" s="758"/>
      <c r="L964" s="721" t="s">
        <v>287</v>
      </c>
      <c r="P964" s="418"/>
    </row>
    <row r="965" spans="2:16">
      <c r="C965" s="755" t="s">
        <v>82</v>
      </c>
      <c r="D965" s="799">
        <v>5</v>
      </c>
      <c r="E965" s="755" t="s">
        <v>83</v>
      </c>
      <c r="F965" s="756"/>
      <c r="G965" s="756"/>
      <c r="I965" s="172"/>
      <c r="J965" s="759">
        <f>$F$70</f>
        <v>0.11486185889303469</v>
      </c>
      <c r="K965" s="760"/>
      <c r="L965" s="308" t="str">
        <f>"          INPUT TRUE-UP ARR (WITH &amp; WITHOUT INCENTIVES) FROM EACH PRIOR YEAR"</f>
        <v xml:space="preserve">          INPUT TRUE-UP ARR (WITH &amp; WITHOUT INCENTIVES) FROM EACH PRIOR YEAR</v>
      </c>
      <c r="P965" s="418"/>
    </row>
    <row r="966" spans="2:16">
      <c r="C966" s="755" t="s">
        <v>84</v>
      </c>
      <c r="D966" s="761">
        <f>H$79</f>
        <v>36</v>
      </c>
      <c r="E966" s="755" t="s">
        <v>85</v>
      </c>
      <c r="F966" s="756"/>
      <c r="G966" s="756"/>
      <c r="I966" s="172"/>
      <c r="J966" s="759">
        <f>IF(H957="",+J965,$F$69)</f>
        <v>0.11486185889303469</v>
      </c>
      <c r="K966" s="762"/>
      <c r="L966" s="308" t="s">
        <v>167</v>
      </c>
      <c r="M966" s="762"/>
      <c r="N966" s="762"/>
      <c r="O966" s="762"/>
      <c r="P966" s="418"/>
    </row>
    <row r="967" spans="2:16" ht="13.5" thickBot="1">
      <c r="C967" s="755" t="s">
        <v>86</v>
      </c>
      <c r="D967" s="1322" t="s">
        <v>814</v>
      </c>
      <c r="E967" s="763" t="s">
        <v>87</v>
      </c>
      <c r="F967" s="764"/>
      <c r="G967" s="764"/>
      <c r="H967" s="765"/>
      <c r="I967" s="765"/>
      <c r="J967" s="743">
        <f>IF(D963=0,0,D963/D966)</f>
        <v>4618.0555555555557</v>
      </c>
      <c r="K967" s="721"/>
      <c r="L967" s="721" t="s">
        <v>168</v>
      </c>
      <c r="M967" s="721"/>
      <c r="N967" s="721"/>
      <c r="O967" s="721"/>
      <c r="P967" s="418"/>
    </row>
    <row r="968" spans="2:16" ht="38.25">
      <c r="B968" s="836"/>
      <c r="C968" s="766" t="s">
        <v>77</v>
      </c>
      <c r="D968" s="767" t="s">
        <v>88</v>
      </c>
      <c r="E968" s="768" t="s">
        <v>89</v>
      </c>
      <c r="F968" s="767" t="s">
        <v>90</v>
      </c>
      <c r="G968" s="767" t="s">
        <v>248</v>
      </c>
      <c r="H968" s="768" t="s">
        <v>161</v>
      </c>
      <c r="I968" s="769" t="s">
        <v>161</v>
      </c>
      <c r="J968" s="766" t="s">
        <v>100</v>
      </c>
      <c r="K968" s="770"/>
      <c r="L968" s="768" t="s">
        <v>163</v>
      </c>
      <c r="M968" s="768" t="s">
        <v>169</v>
      </c>
      <c r="N968" s="768" t="s">
        <v>163</v>
      </c>
      <c r="O968" s="768" t="s">
        <v>171</v>
      </c>
      <c r="P968" s="768" t="s">
        <v>91</v>
      </c>
    </row>
    <row r="969" spans="2:16" ht="13.5" thickBot="1">
      <c r="C969" s="772" t="s">
        <v>477</v>
      </c>
      <c r="D969" s="773" t="s">
        <v>478</v>
      </c>
      <c r="E969" s="772" t="s">
        <v>371</v>
      </c>
      <c r="F969" s="773" t="s">
        <v>478</v>
      </c>
      <c r="G969" s="773" t="s">
        <v>478</v>
      </c>
      <c r="H969" s="774" t="s">
        <v>103</v>
      </c>
      <c r="I969" s="775" t="s">
        <v>105</v>
      </c>
      <c r="J969" s="776" t="s">
        <v>17</v>
      </c>
      <c r="K969" s="777"/>
      <c r="L969" s="774" t="s">
        <v>92</v>
      </c>
      <c r="M969" s="774" t="s">
        <v>92</v>
      </c>
      <c r="N969" s="774" t="s">
        <v>265</v>
      </c>
      <c r="O969" s="774" t="s">
        <v>265</v>
      </c>
      <c r="P969" s="774" t="s">
        <v>265</v>
      </c>
    </row>
    <row r="970" spans="2:16">
      <c r="C970" s="779">
        <f>IF(D964= "","-",D964)</f>
        <v>2022</v>
      </c>
      <c r="D970" s="727">
        <f>+D963</f>
        <v>166250</v>
      </c>
      <c r="E970" s="785">
        <f>+J967/12*(12-D965)</f>
        <v>2693.8657407407409</v>
      </c>
      <c r="F970" s="834">
        <f t="shared" ref="F970:F1029" si="87">+D970-E970</f>
        <v>163556.13425925927</v>
      </c>
      <c r="G970" s="727">
        <f t="shared" ref="G970:G1029" si="88">+(D970+F970)/2</f>
        <v>164903.06712962964</v>
      </c>
      <c r="H970" s="781">
        <f>+J965*G970+E970</f>
        <v>21634.938568412887</v>
      </c>
      <c r="I970" s="782">
        <f>+J966*G970+E970</f>
        <v>21634.938568412887</v>
      </c>
      <c r="J970" s="783">
        <f t="shared" ref="J970:J1029" si="89">+I970-H970</f>
        <v>0</v>
      </c>
      <c r="K970" s="783"/>
      <c r="L970" s="1303">
        <v>0</v>
      </c>
      <c r="M970" s="835">
        <f t="shared" ref="M970:M1029" si="90">IF(L970&lt;&gt;0,+H970-L970,0)</f>
        <v>0</v>
      </c>
      <c r="N970" s="1303">
        <v>0</v>
      </c>
      <c r="O970" s="835">
        <f t="shared" ref="O970:O1029" si="91">IF(N970&lt;&gt;0,+I970-N970,0)</f>
        <v>0</v>
      </c>
      <c r="P970" s="835">
        <f t="shared" ref="P970:P1029" si="92">+O970-M970</f>
        <v>0</v>
      </c>
    </row>
    <row r="971" spans="2:16">
      <c r="C971" s="779">
        <f>IF(D964="","-",+C970+1)</f>
        <v>2023</v>
      </c>
      <c r="D971" s="1323">
        <f t="shared" ref="D971:D1029" si="93">F970</f>
        <v>163556.13425925927</v>
      </c>
      <c r="E971" s="780">
        <f>IF(D971&gt;$J$967,$J$967,D971)</f>
        <v>4618.0555555555557</v>
      </c>
      <c r="F971" s="780">
        <f t="shared" si="87"/>
        <v>158938.07870370371</v>
      </c>
      <c r="G971" s="727">
        <f t="shared" si="88"/>
        <v>161247.10648148149</v>
      </c>
      <c r="H971" s="785">
        <f>+J965*G971+E971</f>
        <v>23139.19794714162</v>
      </c>
      <c r="I971" s="786">
        <f>+J966*G971+E971</f>
        <v>23139.19794714162</v>
      </c>
      <c r="J971" s="783">
        <f t="shared" si="89"/>
        <v>0</v>
      </c>
      <c r="K971" s="783"/>
      <c r="L971" s="1304"/>
      <c r="M971" s="783">
        <f t="shared" si="90"/>
        <v>0</v>
      </c>
      <c r="N971" s="1304"/>
      <c r="O971" s="783">
        <f t="shared" si="91"/>
        <v>0</v>
      </c>
      <c r="P971" s="783">
        <f t="shared" si="92"/>
        <v>0</v>
      </c>
    </row>
    <row r="972" spans="2:16">
      <c r="C972" s="779">
        <f>IF(D964="","-",+C971+1)</f>
        <v>2024</v>
      </c>
      <c r="D972" s="1393">
        <f t="shared" si="93"/>
        <v>158938.07870370371</v>
      </c>
      <c r="E972" s="780">
        <f t="shared" ref="E972:E1029" si="94">IF(D972&gt;$J$967,$J$967,D972)</f>
        <v>4618.0555555555557</v>
      </c>
      <c r="F972" s="780">
        <f t="shared" si="87"/>
        <v>154320.02314814815</v>
      </c>
      <c r="G972" s="727">
        <f t="shared" si="88"/>
        <v>156629.05092592593</v>
      </c>
      <c r="H972" s="785">
        <f>+J965*G972+E972</f>
        <v>22608.759501559201</v>
      </c>
      <c r="I972" s="786">
        <f>+J966*G972+E972</f>
        <v>22608.759501559201</v>
      </c>
      <c r="J972" s="783">
        <f t="shared" si="89"/>
        <v>0</v>
      </c>
      <c r="K972" s="783"/>
      <c r="L972" s="1304"/>
      <c r="M972" s="783">
        <f t="shared" si="90"/>
        <v>0</v>
      </c>
      <c r="N972" s="1304"/>
      <c r="O972" s="783">
        <f t="shared" si="91"/>
        <v>0</v>
      </c>
      <c r="P972" s="783">
        <f t="shared" si="92"/>
        <v>0</v>
      </c>
    </row>
    <row r="973" spans="2:16">
      <c r="C973" s="779">
        <f>IF(D964="","-",+C972+1)</f>
        <v>2025</v>
      </c>
      <c r="D973" s="1393">
        <f t="shared" si="93"/>
        <v>154320.02314814815</v>
      </c>
      <c r="E973" s="780">
        <f t="shared" si="94"/>
        <v>4618.0555555555557</v>
      </c>
      <c r="F973" s="780">
        <f t="shared" si="87"/>
        <v>149701.96759259258</v>
      </c>
      <c r="G973" s="727">
        <f t="shared" si="88"/>
        <v>152010.99537037036</v>
      </c>
      <c r="H973" s="785">
        <f>+J965*G973+E973</f>
        <v>22078.321055976783</v>
      </c>
      <c r="I973" s="786">
        <f>+J966*G973+E973</f>
        <v>22078.321055976783</v>
      </c>
      <c r="J973" s="783">
        <f t="shared" si="89"/>
        <v>0</v>
      </c>
      <c r="K973" s="783"/>
      <c r="L973" s="1304"/>
      <c r="M973" s="783">
        <f t="shared" si="90"/>
        <v>0</v>
      </c>
      <c r="N973" s="1304"/>
      <c r="O973" s="783">
        <f t="shared" si="91"/>
        <v>0</v>
      </c>
      <c r="P973" s="783">
        <f t="shared" si="92"/>
        <v>0</v>
      </c>
    </row>
    <row r="974" spans="2:16">
      <c r="C974" s="779">
        <f>IF(D964="","-",+C973+1)</f>
        <v>2026</v>
      </c>
      <c r="D974" s="1393">
        <f t="shared" si="93"/>
        <v>149701.96759259258</v>
      </c>
      <c r="E974" s="780">
        <f t="shared" si="94"/>
        <v>4618.0555555555557</v>
      </c>
      <c r="F974" s="780">
        <f t="shared" si="87"/>
        <v>145083.91203703702</v>
      </c>
      <c r="G974" s="727">
        <f t="shared" si="88"/>
        <v>147392.9398148148</v>
      </c>
      <c r="H974" s="785">
        <f>+J965*G974+E974</f>
        <v>21547.882610394365</v>
      </c>
      <c r="I974" s="786">
        <f>+J966*G974+E974</f>
        <v>21547.882610394365</v>
      </c>
      <c r="J974" s="783">
        <f t="shared" si="89"/>
        <v>0</v>
      </c>
      <c r="K974" s="783"/>
      <c r="L974" s="1304"/>
      <c r="M974" s="783">
        <f t="shared" si="90"/>
        <v>0</v>
      </c>
      <c r="N974" s="1304"/>
      <c r="O974" s="783">
        <f t="shared" si="91"/>
        <v>0</v>
      </c>
      <c r="P974" s="783">
        <f t="shared" si="92"/>
        <v>0</v>
      </c>
    </row>
    <row r="975" spans="2:16">
      <c r="C975" s="779">
        <f>IF(D964="","-",+C974+1)</f>
        <v>2027</v>
      </c>
      <c r="D975" s="1393">
        <f t="shared" si="93"/>
        <v>145083.91203703702</v>
      </c>
      <c r="E975" s="780">
        <f t="shared" si="94"/>
        <v>4618.0555555555557</v>
      </c>
      <c r="F975" s="780">
        <f t="shared" si="87"/>
        <v>140465.85648148146</v>
      </c>
      <c r="G975" s="727">
        <f t="shared" si="88"/>
        <v>142774.88425925924</v>
      </c>
      <c r="H975" s="785">
        <f>+J965*G975+E975</f>
        <v>21017.44416481195</v>
      </c>
      <c r="I975" s="786">
        <f>+J966*G975+E975</f>
        <v>21017.44416481195</v>
      </c>
      <c r="J975" s="783">
        <f t="shared" si="89"/>
        <v>0</v>
      </c>
      <c r="K975" s="783"/>
      <c r="L975" s="1304"/>
      <c r="M975" s="783">
        <f t="shared" si="90"/>
        <v>0</v>
      </c>
      <c r="N975" s="1304"/>
      <c r="O975" s="783">
        <f t="shared" si="91"/>
        <v>0</v>
      </c>
      <c r="P975" s="783">
        <f t="shared" si="92"/>
        <v>0</v>
      </c>
    </row>
    <row r="976" spans="2:16">
      <c r="C976" s="779">
        <f>IF(D964="","-",+C975+1)</f>
        <v>2028</v>
      </c>
      <c r="D976" s="1393">
        <f t="shared" si="93"/>
        <v>140465.85648148146</v>
      </c>
      <c r="E976" s="780">
        <f t="shared" si="94"/>
        <v>4618.0555555555557</v>
      </c>
      <c r="F976" s="780">
        <f t="shared" si="87"/>
        <v>135847.8009259259</v>
      </c>
      <c r="G976" s="727">
        <f t="shared" si="88"/>
        <v>138156.82870370368</v>
      </c>
      <c r="H976" s="785">
        <f>+J965*G976+E976</f>
        <v>20487.005719229532</v>
      </c>
      <c r="I976" s="786">
        <f>+J966*G976+E976</f>
        <v>20487.005719229532</v>
      </c>
      <c r="J976" s="783">
        <f t="shared" si="89"/>
        <v>0</v>
      </c>
      <c r="K976" s="783"/>
      <c r="L976" s="1304"/>
      <c r="M976" s="783">
        <f t="shared" si="90"/>
        <v>0</v>
      </c>
      <c r="N976" s="1304"/>
      <c r="O976" s="783">
        <f t="shared" si="91"/>
        <v>0</v>
      </c>
      <c r="P976" s="783">
        <f t="shared" si="92"/>
        <v>0</v>
      </c>
    </row>
    <row r="977" spans="3:16">
      <c r="C977" s="779">
        <f>IF(D964="","-",+C976+1)</f>
        <v>2029</v>
      </c>
      <c r="D977" s="1393">
        <f t="shared" si="93"/>
        <v>135847.8009259259</v>
      </c>
      <c r="E977" s="780">
        <f t="shared" si="94"/>
        <v>4618.0555555555557</v>
      </c>
      <c r="F977" s="780">
        <f t="shared" si="87"/>
        <v>131229.74537037034</v>
      </c>
      <c r="G977" s="727">
        <f t="shared" si="88"/>
        <v>133538.77314814812</v>
      </c>
      <c r="H977" s="785">
        <f>+J965*G977+E977</f>
        <v>19956.567273647113</v>
      </c>
      <c r="I977" s="786">
        <f>+J966*G977+E977</f>
        <v>19956.567273647113</v>
      </c>
      <c r="J977" s="783">
        <f t="shared" si="89"/>
        <v>0</v>
      </c>
      <c r="K977" s="783"/>
      <c r="L977" s="1304"/>
      <c r="M977" s="783">
        <f t="shared" si="90"/>
        <v>0</v>
      </c>
      <c r="N977" s="1304"/>
      <c r="O977" s="783">
        <f t="shared" si="91"/>
        <v>0</v>
      </c>
      <c r="P977" s="783">
        <f t="shared" si="92"/>
        <v>0</v>
      </c>
    </row>
    <row r="978" spans="3:16">
      <c r="C978" s="779">
        <f>IF(D964="","-",+C977+1)</f>
        <v>2030</v>
      </c>
      <c r="D978" s="1393">
        <f t="shared" si="93"/>
        <v>131229.74537037034</v>
      </c>
      <c r="E978" s="780">
        <f t="shared" si="94"/>
        <v>4618.0555555555557</v>
      </c>
      <c r="F978" s="780">
        <f t="shared" si="87"/>
        <v>126611.68981481477</v>
      </c>
      <c r="G978" s="727">
        <f t="shared" si="88"/>
        <v>128920.71759259255</v>
      </c>
      <c r="H978" s="785">
        <f>+J965*G978+E978</f>
        <v>19426.128828064695</v>
      </c>
      <c r="I978" s="786">
        <f>+J966*G978+E978</f>
        <v>19426.128828064695</v>
      </c>
      <c r="J978" s="783">
        <f t="shared" si="89"/>
        <v>0</v>
      </c>
      <c r="K978" s="783"/>
      <c r="L978" s="1304"/>
      <c r="M978" s="783">
        <f t="shared" si="90"/>
        <v>0</v>
      </c>
      <c r="N978" s="1304"/>
      <c r="O978" s="783">
        <f t="shared" si="91"/>
        <v>0</v>
      </c>
      <c r="P978" s="783">
        <f t="shared" si="92"/>
        <v>0</v>
      </c>
    </row>
    <row r="979" spans="3:16">
      <c r="C979" s="779">
        <f>IF(D964="","-",+C978+1)</f>
        <v>2031</v>
      </c>
      <c r="D979" s="1393">
        <f t="shared" si="93"/>
        <v>126611.68981481477</v>
      </c>
      <c r="E979" s="780">
        <f t="shared" si="94"/>
        <v>4618.0555555555557</v>
      </c>
      <c r="F979" s="780">
        <f t="shared" si="87"/>
        <v>121993.63425925921</v>
      </c>
      <c r="G979" s="727">
        <f t="shared" si="88"/>
        <v>124302.66203703699</v>
      </c>
      <c r="H979" s="785">
        <f>+J965*G979+E979</f>
        <v>18895.690382482277</v>
      </c>
      <c r="I979" s="786">
        <f>+J966*G979+E979</f>
        <v>18895.690382482277</v>
      </c>
      <c r="J979" s="783">
        <f t="shared" si="89"/>
        <v>0</v>
      </c>
      <c r="K979" s="783"/>
      <c r="L979" s="1304"/>
      <c r="M979" s="783">
        <f t="shared" si="90"/>
        <v>0</v>
      </c>
      <c r="N979" s="1304"/>
      <c r="O979" s="783">
        <f t="shared" si="91"/>
        <v>0</v>
      </c>
      <c r="P979" s="783">
        <f t="shared" si="92"/>
        <v>0</v>
      </c>
    </row>
    <row r="980" spans="3:16">
      <c r="C980" s="779">
        <f>IF(D964="","-",+C979+1)</f>
        <v>2032</v>
      </c>
      <c r="D980" s="1393">
        <f t="shared" si="93"/>
        <v>121993.63425925921</v>
      </c>
      <c r="E980" s="780">
        <f t="shared" si="94"/>
        <v>4618.0555555555557</v>
      </c>
      <c r="F980" s="780">
        <f t="shared" si="87"/>
        <v>117375.57870370365</v>
      </c>
      <c r="G980" s="727">
        <f t="shared" si="88"/>
        <v>119684.60648148143</v>
      </c>
      <c r="H980" s="785">
        <f>+J965*G980+E980</f>
        <v>18365.251936899862</v>
      </c>
      <c r="I980" s="786">
        <f>+J966*G980+E980</f>
        <v>18365.251936899862</v>
      </c>
      <c r="J980" s="783">
        <f t="shared" si="89"/>
        <v>0</v>
      </c>
      <c r="K980" s="783"/>
      <c r="L980" s="1304"/>
      <c r="M980" s="783">
        <f t="shared" si="90"/>
        <v>0</v>
      </c>
      <c r="N980" s="1304"/>
      <c r="O980" s="783">
        <f t="shared" si="91"/>
        <v>0</v>
      </c>
      <c r="P980" s="783">
        <f t="shared" si="92"/>
        <v>0</v>
      </c>
    </row>
    <row r="981" spans="3:16">
      <c r="C981" s="779">
        <f>IF(D964="","-",+C980+1)</f>
        <v>2033</v>
      </c>
      <c r="D981" s="1393">
        <f t="shared" si="93"/>
        <v>117375.57870370365</v>
      </c>
      <c r="E981" s="780">
        <f t="shared" si="94"/>
        <v>4618.0555555555557</v>
      </c>
      <c r="F981" s="780">
        <f t="shared" si="87"/>
        <v>112757.52314814809</v>
      </c>
      <c r="G981" s="727">
        <f t="shared" si="88"/>
        <v>115066.55092592587</v>
      </c>
      <c r="H981" s="785">
        <f>+J965*G981+E981</f>
        <v>17834.813491317444</v>
      </c>
      <c r="I981" s="786">
        <f>+J966*G981+E981</f>
        <v>17834.813491317444</v>
      </c>
      <c r="J981" s="783">
        <f t="shared" si="89"/>
        <v>0</v>
      </c>
      <c r="K981" s="783"/>
      <c r="L981" s="1304"/>
      <c r="M981" s="783">
        <f t="shared" si="90"/>
        <v>0</v>
      </c>
      <c r="N981" s="1304"/>
      <c r="O981" s="783">
        <f t="shared" si="91"/>
        <v>0</v>
      </c>
      <c r="P981" s="783">
        <f t="shared" si="92"/>
        <v>0</v>
      </c>
    </row>
    <row r="982" spans="3:16">
      <c r="C982" s="779">
        <f>IF(D964="","-",+C981+1)</f>
        <v>2034</v>
      </c>
      <c r="D982" s="1393">
        <f t="shared" si="93"/>
        <v>112757.52314814809</v>
      </c>
      <c r="E982" s="780">
        <f t="shared" si="94"/>
        <v>4618.0555555555557</v>
      </c>
      <c r="F982" s="780">
        <f t="shared" si="87"/>
        <v>108139.46759259253</v>
      </c>
      <c r="G982" s="727">
        <f t="shared" si="88"/>
        <v>110448.49537037031</v>
      </c>
      <c r="H982" s="785">
        <f>+J965*G982+E982</f>
        <v>17304.375045735025</v>
      </c>
      <c r="I982" s="786">
        <f>+J966*G982+E982</f>
        <v>17304.375045735025</v>
      </c>
      <c r="J982" s="783">
        <f t="shared" si="89"/>
        <v>0</v>
      </c>
      <c r="K982" s="783"/>
      <c r="L982" s="1304"/>
      <c r="M982" s="783">
        <f t="shared" si="90"/>
        <v>0</v>
      </c>
      <c r="N982" s="1304"/>
      <c r="O982" s="783">
        <f t="shared" si="91"/>
        <v>0</v>
      </c>
      <c r="P982" s="783">
        <f t="shared" si="92"/>
        <v>0</v>
      </c>
    </row>
    <row r="983" spans="3:16">
      <c r="C983" s="779">
        <f>IF(D964="","-",+C982+1)</f>
        <v>2035</v>
      </c>
      <c r="D983" s="1393">
        <f t="shared" si="93"/>
        <v>108139.46759259253</v>
      </c>
      <c r="E983" s="780">
        <f t="shared" si="94"/>
        <v>4618.0555555555557</v>
      </c>
      <c r="F983" s="780">
        <f t="shared" si="87"/>
        <v>103521.41203703696</v>
      </c>
      <c r="G983" s="727">
        <f t="shared" si="88"/>
        <v>105830.43981481474</v>
      </c>
      <c r="H983" s="785">
        <f>+J965*G983+E983</f>
        <v>16773.936600152607</v>
      </c>
      <c r="I983" s="786">
        <f>+J966*G983+E983</f>
        <v>16773.936600152607</v>
      </c>
      <c r="J983" s="783">
        <f t="shared" si="89"/>
        <v>0</v>
      </c>
      <c r="K983" s="783"/>
      <c r="L983" s="1304"/>
      <c r="M983" s="783">
        <f t="shared" si="90"/>
        <v>0</v>
      </c>
      <c r="N983" s="1304"/>
      <c r="O983" s="783">
        <f t="shared" si="91"/>
        <v>0</v>
      </c>
      <c r="P983" s="783">
        <f t="shared" si="92"/>
        <v>0</v>
      </c>
    </row>
    <row r="984" spans="3:16">
      <c r="C984" s="779">
        <f>IF(D964="","-",+C983+1)</f>
        <v>2036</v>
      </c>
      <c r="D984" s="1393">
        <f t="shared" si="93"/>
        <v>103521.41203703696</v>
      </c>
      <c r="E984" s="780">
        <f t="shared" si="94"/>
        <v>4618.0555555555557</v>
      </c>
      <c r="F984" s="780">
        <f t="shared" si="87"/>
        <v>98903.356481481402</v>
      </c>
      <c r="G984" s="727">
        <f t="shared" si="88"/>
        <v>101212.38425925918</v>
      </c>
      <c r="H984" s="785">
        <f>+J965*G984+E984</f>
        <v>16243.498154570188</v>
      </c>
      <c r="I984" s="786">
        <f>+J966*G984+E984</f>
        <v>16243.498154570188</v>
      </c>
      <c r="J984" s="783">
        <f t="shared" si="89"/>
        <v>0</v>
      </c>
      <c r="K984" s="783"/>
      <c r="L984" s="1304"/>
      <c r="M984" s="783">
        <f t="shared" si="90"/>
        <v>0</v>
      </c>
      <c r="N984" s="1304"/>
      <c r="O984" s="783">
        <f t="shared" si="91"/>
        <v>0</v>
      </c>
      <c r="P984" s="783">
        <f t="shared" si="92"/>
        <v>0</v>
      </c>
    </row>
    <row r="985" spans="3:16">
      <c r="C985" s="779">
        <f>IF(D964="","-",+C984+1)</f>
        <v>2037</v>
      </c>
      <c r="D985" s="1393">
        <f t="shared" si="93"/>
        <v>98903.356481481402</v>
      </c>
      <c r="E985" s="780">
        <f t="shared" si="94"/>
        <v>4618.0555555555557</v>
      </c>
      <c r="F985" s="780">
        <f t="shared" si="87"/>
        <v>94285.30092592584</v>
      </c>
      <c r="G985" s="727">
        <f t="shared" si="88"/>
        <v>96594.328703703621</v>
      </c>
      <c r="H985" s="785">
        <f>+J965*G985+E985</f>
        <v>15713.05970898777</v>
      </c>
      <c r="I985" s="786">
        <f>+J966*G985+E985</f>
        <v>15713.05970898777</v>
      </c>
      <c r="J985" s="783">
        <f t="shared" si="89"/>
        <v>0</v>
      </c>
      <c r="K985" s="783"/>
      <c r="L985" s="1304"/>
      <c r="M985" s="783">
        <f t="shared" si="90"/>
        <v>0</v>
      </c>
      <c r="N985" s="1304"/>
      <c r="O985" s="783">
        <f t="shared" si="91"/>
        <v>0</v>
      </c>
      <c r="P985" s="783">
        <f t="shared" si="92"/>
        <v>0</v>
      </c>
    </row>
    <row r="986" spans="3:16">
      <c r="C986" s="779">
        <f>IF(D964="","-",+C985+1)</f>
        <v>2038</v>
      </c>
      <c r="D986" s="1393">
        <f t="shared" si="93"/>
        <v>94285.30092592584</v>
      </c>
      <c r="E986" s="780">
        <f t="shared" si="94"/>
        <v>4618.0555555555557</v>
      </c>
      <c r="F986" s="780">
        <f t="shared" si="87"/>
        <v>89667.245370370278</v>
      </c>
      <c r="G986" s="727">
        <f t="shared" si="88"/>
        <v>91976.273148148059</v>
      </c>
      <c r="H986" s="785">
        <f>+J965*G986+E986</f>
        <v>15182.621263405352</v>
      </c>
      <c r="I986" s="786">
        <f>+J966*G986+E986</f>
        <v>15182.621263405352</v>
      </c>
      <c r="J986" s="783">
        <f t="shared" si="89"/>
        <v>0</v>
      </c>
      <c r="K986" s="783"/>
      <c r="L986" s="1304"/>
      <c r="M986" s="783">
        <f t="shared" si="90"/>
        <v>0</v>
      </c>
      <c r="N986" s="1304"/>
      <c r="O986" s="783">
        <f t="shared" si="91"/>
        <v>0</v>
      </c>
      <c r="P986" s="783">
        <f t="shared" si="92"/>
        <v>0</v>
      </c>
    </row>
    <row r="987" spans="3:16">
      <c r="C987" s="779">
        <f>IF(D964="","-",+C986+1)</f>
        <v>2039</v>
      </c>
      <c r="D987" s="1393">
        <f t="shared" si="93"/>
        <v>89667.245370370278</v>
      </c>
      <c r="E987" s="780">
        <f t="shared" si="94"/>
        <v>4618.0555555555557</v>
      </c>
      <c r="F987" s="780">
        <f t="shared" si="87"/>
        <v>85049.189814814716</v>
      </c>
      <c r="G987" s="727">
        <f t="shared" si="88"/>
        <v>87358.217592592497</v>
      </c>
      <c r="H987" s="785">
        <f>+J965*G987+E987</f>
        <v>14652.182817822933</v>
      </c>
      <c r="I987" s="786">
        <f>+J966*G987+E987</f>
        <v>14652.182817822933</v>
      </c>
      <c r="J987" s="783">
        <f t="shared" si="89"/>
        <v>0</v>
      </c>
      <c r="K987" s="783"/>
      <c r="L987" s="1304"/>
      <c r="M987" s="783">
        <f t="shared" si="90"/>
        <v>0</v>
      </c>
      <c r="N987" s="1304"/>
      <c r="O987" s="783">
        <f t="shared" si="91"/>
        <v>0</v>
      </c>
      <c r="P987" s="783">
        <f t="shared" si="92"/>
        <v>0</v>
      </c>
    </row>
    <row r="988" spans="3:16">
      <c r="C988" s="779">
        <f>IF(D964="","-",+C987+1)</f>
        <v>2040</v>
      </c>
      <c r="D988" s="1393">
        <f t="shared" si="93"/>
        <v>85049.189814814716</v>
      </c>
      <c r="E988" s="780">
        <f t="shared" si="94"/>
        <v>4618.0555555555557</v>
      </c>
      <c r="F988" s="780">
        <f t="shared" si="87"/>
        <v>80431.134259259154</v>
      </c>
      <c r="G988" s="727">
        <f t="shared" si="88"/>
        <v>82740.162037036935</v>
      </c>
      <c r="H988" s="785">
        <f>+J965*G988+E988</f>
        <v>14121.744372240519</v>
      </c>
      <c r="I988" s="786">
        <f>+J966*G988+E988</f>
        <v>14121.744372240519</v>
      </c>
      <c r="J988" s="783">
        <f t="shared" si="89"/>
        <v>0</v>
      </c>
      <c r="K988" s="783"/>
      <c r="L988" s="1304"/>
      <c r="M988" s="783">
        <f t="shared" si="90"/>
        <v>0</v>
      </c>
      <c r="N988" s="1304"/>
      <c r="O988" s="783">
        <f t="shared" si="91"/>
        <v>0</v>
      </c>
      <c r="P988" s="783">
        <f t="shared" si="92"/>
        <v>0</v>
      </c>
    </row>
    <row r="989" spans="3:16">
      <c r="C989" s="779">
        <f>IF(D964="","-",+C988+1)</f>
        <v>2041</v>
      </c>
      <c r="D989" s="1393">
        <f t="shared" si="93"/>
        <v>80431.134259259154</v>
      </c>
      <c r="E989" s="780">
        <f t="shared" si="94"/>
        <v>4618.0555555555557</v>
      </c>
      <c r="F989" s="780">
        <f t="shared" si="87"/>
        <v>75813.078703703592</v>
      </c>
      <c r="G989" s="727">
        <f t="shared" si="88"/>
        <v>78122.106481481373</v>
      </c>
      <c r="H989" s="785">
        <f>+J965*G989+E989</f>
        <v>13591.3059266581</v>
      </c>
      <c r="I989" s="786">
        <f>+J966*G989+E989</f>
        <v>13591.3059266581</v>
      </c>
      <c r="J989" s="783">
        <f t="shared" si="89"/>
        <v>0</v>
      </c>
      <c r="K989" s="783"/>
      <c r="L989" s="1304"/>
      <c r="M989" s="783">
        <f t="shared" si="90"/>
        <v>0</v>
      </c>
      <c r="N989" s="1304"/>
      <c r="O989" s="783">
        <f t="shared" si="91"/>
        <v>0</v>
      </c>
      <c r="P989" s="783">
        <f t="shared" si="92"/>
        <v>0</v>
      </c>
    </row>
    <row r="990" spans="3:16">
      <c r="C990" s="779">
        <f>IF(D964="","-",+C989+1)</f>
        <v>2042</v>
      </c>
      <c r="D990" s="1393">
        <f t="shared" si="93"/>
        <v>75813.078703703592</v>
      </c>
      <c r="E990" s="780">
        <f t="shared" si="94"/>
        <v>4618.0555555555557</v>
      </c>
      <c r="F990" s="780">
        <f t="shared" si="87"/>
        <v>71195.02314814803</v>
      </c>
      <c r="G990" s="727">
        <f t="shared" si="88"/>
        <v>73504.050925925811</v>
      </c>
      <c r="H990" s="785">
        <f>+J965*G990+E990</f>
        <v>13060.867481075682</v>
      </c>
      <c r="I990" s="786">
        <f>+J966*G990+E990</f>
        <v>13060.867481075682</v>
      </c>
      <c r="J990" s="783">
        <f t="shared" si="89"/>
        <v>0</v>
      </c>
      <c r="K990" s="783"/>
      <c r="L990" s="1304"/>
      <c r="M990" s="783">
        <f t="shared" si="90"/>
        <v>0</v>
      </c>
      <c r="N990" s="1304"/>
      <c r="O990" s="783">
        <f t="shared" si="91"/>
        <v>0</v>
      </c>
      <c r="P990" s="783">
        <f t="shared" si="92"/>
        <v>0</v>
      </c>
    </row>
    <row r="991" spans="3:16">
      <c r="C991" s="779">
        <f>IF(D964="","-",+C990+1)</f>
        <v>2043</v>
      </c>
      <c r="D991" s="1393">
        <f t="shared" si="93"/>
        <v>71195.02314814803</v>
      </c>
      <c r="E991" s="780">
        <f t="shared" si="94"/>
        <v>4618.0555555555557</v>
      </c>
      <c r="F991" s="780">
        <f t="shared" si="87"/>
        <v>66576.967592592468</v>
      </c>
      <c r="G991" s="727">
        <f t="shared" si="88"/>
        <v>68885.995370370249</v>
      </c>
      <c r="H991" s="785">
        <f>+J965*G991+E991</f>
        <v>12530.429035493264</v>
      </c>
      <c r="I991" s="786">
        <f>+J966*G991+E991</f>
        <v>12530.429035493264</v>
      </c>
      <c r="J991" s="783">
        <f t="shared" si="89"/>
        <v>0</v>
      </c>
      <c r="K991" s="783"/>
      <c r="L991" s="1304"/>
      <c r="M991" s="783">
        <f t="shared" si="90"/>
        <v>0</v>
      </c>
      <c r="N991" s="1304"/>
      <c r="O991" s="783">
        <f t="shared" si="91"/>
        <v>0</v>
      </c>
      <c r="P991" s="783">
        <f t="shared" si="92"/>
        <v>0</v>
      </c>
    </row>
    <row r="992" spans="3:16">
      <c r="C992" s="779">
        <f>IF(D964="","-",+C991+1)</f>
        <v>2044</v>
      </c>
      <c r="D992" s="1393">
        <f t="shared" si="93"/>
        <v>66576.967592592468</v>
      </c>
      <c r="E992" s="780">
        <f t="shared" si="94"/>
        <v>4618.0555555555557</v>
      </c>
      <c r="F992" s="780">
        <f t="shared" si="87"/>
        <v>61958.912037036913</v>
      </c>
      <c r="G992" s="727">
        <f t="shared" si="88"/>
        <v>64267.939814814687</v>
      </c>
      <c r="H992" s="785">
        <f>+J965*G992+E992</f>
        <v>11999.990589910845</v>
      </c>
      <c r="I992" s="786">
        <f>+J966*G992+E992</f>
        <v>11999.990589910845</v>
      </c>
      <c r="J992" s="783">
        <f t="shared" si="89"/>
        <v>0</v>
      </c>
      <c r="K992" s="783"/>
      <c r="L992" s="1304"/>
      <c r="M992" s="783">
        <f t="shared" si="90"/>
        <v>0</v>
      </c>
      <c r="N992" s="1304"/>
      <c r="O992" s="783">
        <f t="shared" si="91"/>
        <v>0</v>
      </c>
      <c r="P992" s="783">
        <f t="shared" si="92"/>
        <v>0</v>
      </c>
    </row>
    <row r="993" spans="3:16">
      <c r="C993" s="779">
        <f>IF(D964="","-",+C992+1)</f>
        <v>2045</v>
      </c>
      <c r="D993" s="1393">
        <f t="shared" si="93"/>
        <v>61958.912037036913</v>
      </c>
      <c r="E993" s="780">
        <f t="shared" si="94"/>
        <v>4618.0555555555557</v>
      </c>
      <c r="F993" s="780">
        <f t="shared" si="87"/>
        <v>57340.856481481358</v>
      </c>
      <c r="G993" s="727">
        <f t="shared" si="88"/>
        <v>59649.884259259139</v>
      </c>
      <c r="H993" s="785">
        <f>+J965*G993+E993</f>
        <v>11469.552144328431</v>
      </c>
      <c r="I993" s="786">
        <f>+J966*G993+E993</f>
        <v>11469.552144328431</v>
      </c>
      <c r="J993" s="783">
        <f t="shared" si="89"/>
        <v>0</v>
      </c>
      <c r="K993" s="783"/>
      <c r="L993" s="1304"/>
      <c r="M993" s="783">
        <f t="shared" si="90"/>
        <v>0</v>
      </c>
      <c r="N993" s="1304"/>
      <c r="O993" s="783">
        <f t="shared" si="91"/>
        <v>0</v>
      </c>
      <c r="P993" s="783">
        <f t="shared" si="92"/>
        <v>0</v>
      </c>
    </row>
    <row r="994" spans="3:16">
      <c r="C994" s="779">
        <f>IF(D964="","-",+C993+1)</f>
        <v>2046</v>
      </c>
      <c r="D994" s="1393">
        <f t="shared" si="93"/>
        <v>57340.856481481358</v>
      </c>
      <c r="E994" s="780">
        <f t="shared" si="94"/>
        <v>4618.0555555555557</v>
      </c>
      <c r="F994" s="780">
        <f t="shared" si="87"/>
        <v>52722.800925925803</v>
      </c>
      <c r="G994" s="727">
        <f t="shared" si="88"/>
        <v>55031.828703703577</v>
      </c>
      <c r="H994" s="785">
        <f>+J965*G994+E994</f>
        <v>10939.113698746012</v>
      </c>
      <c r="I994" s="786">
        <f>+J966*G994+E994</f>
        <v>10939.113698746012</v>
      </c>
      <c r="J994" s="783">
        <f t="shared" si="89"/>
        <v>0</v>
      </c>
      <c r="K994" s="783"/>
      <c r="L994" s="1304"/>
      <c r="M994" s="783">
        <f t="shared" si="90"/>
        <v>0</v>
      </c>
      <c r="N994" s="1304"/>
      <c r="O994" s="783">
        <f t="shared" si="91"/>
        <v>0</v>
      </c>
      <c r="P994" s="783">
        <f t="shared" si="92"/>
        <v>0</v>
      </c>
    </row>
    <row r="995" spans="3:16">
      <c r="C995" s="779">
        <f>IF(D964="","-",+C994+1)</f>
        <v>2047</v>
      </c>
      <c r="D995" s="1393">
        <f t="shared" si="93"/>
        <v>52722.800925925803</v>
      </c>
      <c r="E995" s="780">
        <f t="shared" si="94"/>
        <v>4618.0555555555557</v>
      </c>
      <c r="F995" s="780">
        <f t="shared" si="87"/>
        <v>48104.745370370249</v>
      </c>
      <c r="G995" s="727">
        <f t="shared" si="88"/>
        <v>50413.77314814803</v>
      </c>
      <c r="H995" s="785">
        <f>+J965*G995+E995</f>
        <v>10408.675253163596</v>
      </c>
      <c r="I995" s="786">
        <f>+J966*G995+E995</f>
        <v>10408.675253163596</v>
      </c>
      <c r="J995" s="783">
        <f t="shared" si="89"/>
        <v>0</v>
      </c>
      <c r="K995" s="783"/>
      <c r="L995" s="1304"/>
      <c r="M995" s="783">
        <f t="shared" si="90"/>
        <v>0</v>
      </c>
      <c r="N995" s="1304"/>
      <c r="O995" s="783">
        <f t="shared" si="91"/>
        <v>0</v>
      </c>
      <c r="P995" s="783">
        <f t="shared" si="92"/>
        <v>0</v>
      </c>
    </row>
    <row r="996" spans="3:16">
      <c r="C996" s="779">
        <f>IF(D964="","-",+C995+1)</f>
        <v>2048</v>
      </c>
      <c r="D996" s="1393">
        <f t="shared" si="93"/>
        <v>48104.745370370249</v>
      </c>
      <c r="E996" s="780">
        <f t="shared" si="94"/>
        <v>4618.0555555555557</v>
      </c>
      <c r="F996" s="780">
        <f t="shared" si="87"/>
        <v>43486.689814814694</v>
      </c>
      <c r="G996" s="727">
        <f t="shared" si="88"/>
        <v>45795.717592592468</v>
      </c>
      <c r="H996" s="785">
        <f>+J965*G996+E996</f>
        <v>9878.2368075811773</v>
      </c>
      <c r="I996" s="786">
        <f>+J966*G996+E996</f>
        <v>9878.2368075811773</v>
      </c>
      <c r="J996" s="783">
        <f t="shared" si="89"/>
        <v>0</v>
      </c>
      <c r="K996" s="783"/>
      <c r="L996" s="1304"/>
      <c r="M996" s="783">
        <f t="shared" si="90"/>
        <v>0</v>
      </c>
      <c r="N996" s="1304"/>
      <c r="O996" s="783">
        <f t="shared" si="91"/>
        <v>0</v>
      </c>
      <c r="P996" s="783">
        <f t="shared" si="92"/>
        <v>0</v>
      </c>
    </row>
    <row r="997" spans="3:16">
      <c r="C997" s="779">
        <f>IF(D964="","-",+C996+1)</f>
        <v>2049</v>
      </c>
      <c r="D997" s="1393">
        <f t="shared" si="93"/>
        <v>43486.689814814694</v>
      </c>
      <c r="E997" s="780">
        <f t="shared" si="94"/>
        <v>4618.0555555555557</v>
      </c>
      <c r="F997" s="780">
        <f t="shared" si="87"/>
        <v>38868.634259259139</v>
      </c>
      <c r="G997" s="727">
        <f t="shared" si="88"/>
        <v>41177.66203703692</v>
      </c>
      <c r="H997" s="785">
        <f>+J965*G997+E997</f>
        <v>9347.7983619987608</v>
      </c>
      <c r="I997" s="786">
        <f>+J966*G997+E997</f>
        <v>9347.7983619987608</v>
      </c>
      <c r="J997" s="783">
        <f t="shared" si="89"/>
        <v>0</v>
      </c>
      <c r="K997" s="783"/>
      <c r="L997" s="1304"/>
      <c r="M997" s="783">
        <f t="shared" si="90"/>
        <v>0</v>
      </c>
      <c r="N997" s="1304"/>
      <c r="O997" s="783">
        <f t="shared" si="91"/>
        <v>0</v>
      </c>
      <c r="P997" s="783">
        <f t="shared" si="92"/>
        <v>0</v>
      </c>
    </row>
    <row r="998" spans="3:16">
      <c r="C998" s="779">
        <f>IF(D964="","-",+C997+1)</f>
        <v>2050</v>
      </c>
      <c r="D998" s="1393">
        <f t="shared" si="93"/>
        <v>38868.634259259139</v>
      </c>
      <c r="E998" s="780">
        <f t="shared" si="94"/>
        <v>4618.0555555555557</v>
      </c>
      <c r="F998" s="780">
        <f t="shared" si="87"/>
        <v>34250.578703703584</v>
      </c>
      <c r="G998" s="727">
        <f t="shared" si="88"/>
        <v>36559.606481481358</v>
      </c>
      <c r="H998" s="785">
        <f>+J965*G998+E998</f>
        <v>8817.3599164163425</v>
      </c>
      <c r="I998" s="786">
        <f>+J966*G998+E998</f>
        <v>8817.3599164163425</v>
      </c>
      <c r="J998" s="783">
        <f t="shared" si="89"/>
        <v>0</v>
      </c>
      <c r="K998" s="783"/>
      <c r="L998" s="1304"/>
      <c r="M998" s="783">
        <f t="shared" si="90"/>
        <v>0</v>
      </c>
      <c r="N998" s="1304"/>
      <c r="O998" s="783">
        <f t="shared" si="91"/>
        <v>0</v>
      </c>
      <c r="P998" s="783">
        <f t="shared" si="92"/>
        <v>0</v>
      </c>
    </row>
    <row r="999" spans="3:16">
      <c r="C999" s="779">
        <f>IF(D964="","-",+C998+1)</f>
        <v>2051</v>
      </c>
      <c r="D999" s="1393">
        <f t="shared" si="93"/>
        <v>34250.578703703584</v>
      </c>
      <c r="E999" s="780">
        <f t="shared" si="94"/>
        <v>4618.0555555555557</v>
      </c>
      <c r="F999" s="780">
        <f t="shared" si="87"/>
        <v>29632.52314814803</v>
      </c>
      <c r="G999" s="727">
        <f t="shared" si="88"/>
        <v>31941.550925925807</v>
      </c>
      <c r="H999" s="785">
        <f>+J965*G999+E999</f>
        <v>8286.9214708339277</v>
      </c>
      <c r="I999" s="786">
        <f>+J966*G999+E999</f>
        <v>8286.9214708339277</v>
      </c>
      <c r="J999" s="783">
        <f t="shared" si="89"/>
        <v>0</v>
      </c>
      <c r="K999" s="783"/>
      <c r="L999" s="1304"/>
      <c r="M999" s="783">
        <f t="shared" si="90"/>
        <v>0</v>
      </c>
      <c r="N999" s="1304"/>
      <c r="O999" s="783">
        <f t="shared" si="91"/>
        <v>0</v>
      </c>
      <c r="P999" s="783">
        <f t="shared" si="92"/>
        <v>0</v>
      </c>
    </row>
    <row r="1000" spans="3:16">
      <c r="C1000" s="779">
        <f>IF(D964="","-",+C999+1)</f>
        <v>2052</v>
      </c>
      <c r="D1000" s="1393">
        <f t="shared" si="93"/>
        <v>29632.52314814803</v>
      </c>
      <c r="E1000" s="780">
        <f t="shared" si="94"/>
        <v>4618.0555555555557</v>
      </c>
      <c r="F1000" s="780">
        <f t="shared" si="87"/>
        <v>25014.467592592475</v>
      </c>
      <c r="G1000" s="727">
        <f t="shared" si="88"/>
        <v>27323.495370370252</v>
      </c>
      <c r="H1000" s="785">
        <f>+J965*G1000+E1000</f>
        <v>7756.4830252515094</v>
      </c>
      <c r="I1000" s="786">
        <f>+J966*G1000+E1000</f>
        <v>7756.4830252515094</v>
      </c>
      <c r="J1000" s="783">
        <f t="shared" si="89"/>
        <v>0</v>
      </c>
      <c r="K1000" s="783"/>
      <c r="L1000" s="1304"/>
      <c r="M1000" s="783">
        <f t="shared" si="90"/>
        <v>0</v>
      </c>
      <c r="N1000" s="1304"/>
      <c r="O1000" s="783">
        <f t="shared" si="91"/>
        <v>0</v>
      </c>
      <c r="P1000" s="783">
        <f t="shared" si="92"/>
        <v>0</v>
      </c>
    </row>
    <row r="1001" spans="3:16">
      <c r="C1001" s="779">
        <f>IF(D964="","-",+C1000+1)</f>
        <v>2053</v>
      </c>
      <c r="D1001" s="1393">
        <f t="shared" si="93"/>
        <v>25014.467592592475</v>
      </c>
      <c r="E1001" s="780">
        <f t="shared" si="94"/>
        <v>4618.0555555555557</v>
      </c>
      <c r="F1001" s="780">
        <f t="shared" si="87"/>
        <v>20396.41203703692</v>
      </c>
      <c r="G1001" s="727">
        <f t="shared" si="88"/>
        <v>22705.439814814697</v>
      </c>
      <c r="H1001" s="785">
        <f>+J965*G1001+E1001</f>
        <v>7226.0445796690929</v>
      </c>
      <c r="I1001" s="786">
        <f>+J966*G1001+E1001</f>
        <v>7226.0445796690929</v>
      </c>
      <c r="J1001" s="783">
        <f t="shared" si="89"/>
        <v>0</v>
      </c>
      <c r="K1001" s="783"/>
      <c r="L1001" s="1304"/>
      <c r="M1001" s="783">
        <f t="shared" si="90"/>
        <v>0</v>
      </c>
      <c r="N1001" s="1304"/>
      <c r="O1001" s="783">
        <f t="shared" si="91"/>
        <v>0</v>
      </c>
      <c r="P1001" s="783">
        <f t="shared" si="92"/>
        <v>0</v>
      </c>
    </row>
    <row r="1002" spans="3:16">
      <c r="C1002" s="779">
        <f>IF(D964="","-",+C1001+1)</f>
        <v>2054</v>
      </c>
      <c r="D1002" s="1393">
        <f t="shared" si="93"/>
        <v>20396.41203703692</v>
      </c>
      <c r="E1002" s="780">
        <f t="shared" si="94"/>
        <v>4618.0555555555557</v>
      </c>
      <c r="F1002" s="780">
        <f t="shared" si="87"/>
        <v>15778.356481481365</v>
      </c>
      <c r="G1002" s="727">
        <f t="shared" si="88"/>
        <v>18087.384259259143</v>
      </c>
      <c r="H1002" s="785">
        <f>+J965*G1002+E1002</f>
        <v>6695.6061340866763</v>
      </c>
      <c r="I1002" s="786">
        <f>+J966*G1002+E1002</f>
        <v>6695.6061340866763</v>
      </c>
      <c r="J1002" s="783">
        <f t="shared" si="89"/>
        <v>0</v>
      </c>
      <c r="K1002" s="783"/>
      <c r="L1002" s="1304"/>
      <c r="M1002" s="783">
        <f t="shared" si="90"/>
        <v>0</v>
      </c>
      <c r="N1002" s="1304"/>
      <c r="O1002" s="783">
        <f t="shared" si="91"/>
        <v>0</v>
      </c>
      <c r="P1002" s="783">
        <f t="shared" si="92"/>
        <v>0</v>
      </c>
    </row>
    <row r="1003" spans="3:16">
      <c r="C1003" s="779">
        <f>IF(D964="","-",+C1002+1)</f>
        <v>2055</v>
      </c>
      <c r="D1003" s="1393">
        <f t="shared" si="93"/>
        <v>15778.356481481365</v>
      </c>
      <c r="E1003" s="780">
        <f t="shared" si="94"/>
        <v>4618.0555555555557</v>
      </c>
      <c r="F1003" s="780">
        <f t="shared" si="87"/>
        <v>11160.300925925811</v>
      </c>
      <c r="G1003" s="727">
        <f t="shared" si="88"/>
        <v>13469.328703703588</v>
      </c>
      <c r="H1003" s="785">
        <f>+J965*G1003+E1003</f>
        <v>6165.1676885042589</v>
      </c>
      <c r="I1003" s="786">
        <f>+J966*G1003+E1003</f>
        <v>6165.1676885042589</v>
      </c>
      <c r="J1003" s="783">
        <f t="shared" si="89"/>
        <v>0</v>
      </c>
      <c r="K1003" s="783"/>
      <c r="L1003" s="1304"/>
      <c r="M1003" s="783">
        <f t="shared" si="90"/>
        <v>0</v>
      </c>
      <c r="N1003" s="1304"/>
      <c r="O1003" s="783">
        <f t="shared" si="91"/>
        <v>0</v>
      </c>
      <c r="P1003" s="783">
        <f t="shared" si="92"/>
        <v>0</v>
      </c>
    </row>
    <row r="1004" spans="3:16">
      <c r="C1004" s="779">
        <f>IF(D964="","-",+C1003+1)</f>
        <v>2056</v>
      </c>
      <c r="D1004" s="1393">
        <f t="shared" si="93"/>
        <v>11160.300925925811</v>
      </c>
      <c r="E1004" s="780">
        <f t="shared" si="94"/>
        <v>4618.0555555555557</v>
      </c>
      <c r="F1004" s="780">
        <f t="shared" si="87"/>
        <v>6542.2453703702549</v>
      </c>
      <c r="G1004" s="727">
        <f t="shared" si="88"/>
        <v>8851.2731481480332</v>
      </c>
      <c r="H1004" s="785">
        <f>+J965*G1004+E1004</f>
        <v>5634.7292429218414</v>
      </c>
      <c r="I1004" s="786">
        <f>+J966*G1004+E1004</f>
        <v>5634.7292429218414</v>
      </c>
      <c r="J1004" s="783">
        <f t="shared" si="89"/>
        <v>0</v>
      </c>
      <c r="K1004" s="783"/>
      <c r="L1004" s="1304"/>
      <c r="M1004" s="783">
        <f t="shared" si="90"/>
        <v>0</v>
      </c>
      <c r="N1004" s="1304"/>
      <c r="O1004" s="783">
        <f t="shared" si="91"/>
        <v>0</v>
      </c>
      <c r="P1004" s="783">
        <f t="shared" si="92"/>
        <v>0</v>
      </c>
    </row>
    <row r="1005" spans="3:16">
      <c r="C1005" s="779">
        <f>IF(D964="","-",+C1004+1)</f>
        <v>2057</v>
      </c>
      <c r="D1005" s="1393">
        <f t="shared" si="93"/>
        <v>6542.2453703702549</v>
      </c>
      <c r="E1005" s="780">
        <f t="shared" si="94"/>
        <v>4618.0555555555557</v>
      </c>
      <c r="F1005" s="780">
        <f t="shared" si="87"/>
        <v>1924.1898148146993</v>
      </c>
      <c r="G1005" s="727">
        <f t="shared" si="88"/>
        <v>4233.2175925924766</v>
      </c>
      <c r="H1005" s="785">
        <f>+J965*G1005+E1005</f>
        <v>5104.2907973394249</v>
      </c>
      <c r="I1005" s="786">
        <f>+J966*G1005+E1005</f>
        <v>5104.2907973394249</v>
      </c>
      <c r="J1005" s="783">
        <f t="shared" si="89"/>
        <v>0</v>
      </c>
      <c r="K1005" s="783"/>
      <c r="L1005" s="1304"/>
      <c r="M1005" s="783">
        <f t="shared" si="90"/>
        <v>0</v>
      </c>
      <c r="N1005" s="1304"/>
      <c r="O1005" s="783">
        <f t="shared" si="91"/>
        <v>0</v>
      </c>
      <c r="P1005" s="783">
        <f t="shared" si="92"/>
        <v>0</v>
      </c>
    </row>
    <row r="1006" spans="3:16">
      <c r="C1006" s="779">
        <f>IF(D964="","-",+C1005+1)</f>
        <v>2058</v>
      </c>
      <c r="D1006" s="1393">
        <f t="shared" si="93"/>
        <v>1924.1898148146993</v>
      </c>
      <c r="E1006" s="780">
        <f t="shared" si="94"/>
        <v>1924.1898148146993</v>
      </c>
      <c r="F1006" s="780">
        <f t="shared" si="87"/>
        <v>0</v>
      </c>
      <c r="G1006" s="727">
        <f t="shared" si="88"/>
        <v>962.09490740734964</v>
      </c>
      <c r="H1006" s="785">
        <f>+J965*G1006+E1006</f>
        <v>2034.6978243110295</v>
      </c>
      <c r="I1006" s="786">
        <f>+J966*G1006+E1006</f>
        <v>2034.6978243110295</v>
      </c>
      <c r="J1006" s="783">
        <f t="shared" si="89"/>
        <v>0</v>
      </c>
      <c r="K1006" s="783"/>
      <c r="L1006" s="1304"/>
      <c r="M1006" s="783">
        <f t="shared" si="90"/>
        <v>0</v>
      </c>
      <c r="N1006" s="1304"/>
      <c r="O1006" s="783">
        <f t="shared" si="91"/>
        <v>0</v>
      </c>
      <c r="P1006" s="783">
        <f t="shared" si="92"/>
        <v>0</v>
      </c>
    </row>
    <row r="1007" spans="3:16">
      <c r="C1007" s="779">
        <f>IF(D964="","-",+C1006+1)</f>
        <v>2059</v>
      </c>
      <c r="D1007" s="1393">
        <f t="shared" si="93"/>
        <v>0</v>
      </c>
      <c r="E1007" s="780">
        <f t="shared" si="94"/>
        <v>0</v>
      </c>
      <c r="F1007" s="780">
        <f t="shared" si="87"/>
        <v>0</v>
      </c>
      <c r="G1007" s="727">
        <f t="shared" si="88"/>
        <v>0</v>
      </c>
      <c r="H1007" s="785">
        <f>+J965*G1007+E1007</f>
        <v>0</v>
      </c>
      <c r="I1007" s="786">
        <f>+J966*G1007+E1007</f>
        <v>0</v>
      </c>
      <c r="J1007" s="783">
        <f t="shared" si="89"/>
        <v>0</v>
      </c>
      <c r="K1007" s="783"/>
      <c r="L1007" s="1304"/>
      <c r="M1007" s="783">
        <f t="shared" si="90"/>
        <v>0</v>
      </c>
      <c r="N1007" s="1304"/>
      <c r="O1007" s="783">
        <f t="shared" si="91"/>
        <v>0</v>
      </c>
      <c r="P1007" s="783">
        <f t="shared" si="92"/>
        <v>0</v>
      </c>
    </row>
    <row r="1008" spans="3:16">
      <c r="C1008" s="779">
        <f>IF(D964="","-",+C1007+1)</f>
        <v>2060</v>
      </c>
      <c r="D1008" s="1393">
        <f t="shared" si="93"/>
        <v>0</v>
      </c>
      <c r="E1008" s="780">
        <f t="shared" si="94"/>
        <v>0</v>
      </c>
      <c r="F1008" s="780">
        <f t="shared" si="87"/>
        <v>0</v>
      </c>
      <c r="G1008" s="727">
        <f t="shared" si="88"/>
        <v>0</v>
      </c>
      <c r="H1008" s="785">
        <f>+J965*G1008+E1008</f>
        <v>0</v>
      </c>
      <c r="I1008" s="786">
        <f>+J966*G1008+E1008</f>
        <v>0</v>
      </c>
      <c r="J1008" s="783">
        <f t="shared" si="89"/>
        <v>0</v>
      </c>
      <c r="K1008" s="783"/>
      <c r="L1008" s="1304"/>
      <c r="M1008" s="783">
        <f t="shared" si="90"/>
        <v>0</v>
      </c>
      <c r="N1008" s="1304"/>
      <c r="O1008" s="783">
        <f t="shared" si="91"/>
        <v>0</v>
      </c>
      <c r="P1008" s="783">
        <f t="shared" si="92"/>
        <v>0</v>
      </c>
    </row>
    <row r="1009" spans="3:16">
      <c r="C1009" s="779">
        <f>IF(D964="","-",+C1008+1)</f>
        <v>2061</v>
      </c>
      <c r="D1009" s="1393">
        <f t="shared" si="93"/>
        <v>0</v>
      </c>
      <c r="E1009" s="780">
        <f t="shared" si="94"/>
        <v>0</v>
      </c>
      <c r="F1009" s="780">
        <f t="shared" si="87"/>
        <v>0</v>
      </c>
      <c r="G1009" s="727">
        <f t="shared" si="88"/>
        <v>0</v>
      </c>
      <c r="H1009" s="785">
        <f>+J965*G1009+E1009</f>
        <v>0</v>
      </c>
      <c r="I1009" s="786">
        <f>+J966*G1009+E1009</f>
        <v>0</v>
      </c>
      <c r="J1009" s="783">
        <f t="shared" si="89"/>
        <v>0</v>
      </c>
      <c r="K1009" s="783"/>
      <c r="L1009" s="1304"/>
      <c r="M1009" s="783">
        <f t="shared" si="90"/>
        <v>0</v>
      </c>
      <c r="N1009" s="1304"/>
      <c r="O1009" s="783">
        <f t="shared" si="91"/>
        <v>0</v>
      </c>
      <c r="P1009" s="783">
        <f t="shared" si="92"/>
        <v>0</v>
      </c>
    </row>
    <row r="1010" spans="3:16">
      <c r="C1010" s="779">
        <f>IF(D964="","-",+C1009+1)</f>
        <v>2062</v>
      </c>
      <c r="D1010" s="1393">
        <f t="shared" si="93"/>
        <v>0</v>
      </c>
      <c r="E1010" s="780">
        <f t="shared" si="94"/>
        <v>0</v>
      </c>
      <c r="F1010" s="780">
        <f t="shared" si="87"/>
        <v>0</v>
      </c>
      <c r="G1010" s="727">
        <f t="shared" si="88"/>
        <v>0</v>
      </c>
      <c r="H1010" s="785">
        <f>+J965*G1010+E1010</f>
        <v>0</v>
      </c>
      <c r="I1010" s="786">
        <f>+J966*G1010+E1010</f>
        <v>0</v>
      </c>
      <c r="J1010" s="783">
        <f t="shared" si="89"/>
        <v>0</v>
      </c>
      <c r="K1010" s="783"/>
      <c r="L1010" s="1304"/>
      <c r="M1010" s="783">
        <f t="shared" si="90"/>
        <v>0</v>
      </c>
      <c r="N1010" s="1304"/>
      <c r="O1010" s="783">
        <f t="shared" si="91"/>
        <v>0</v>
      </c>
      <c r="P1010" s="783">
        <f t="shared" si="92"/>
        <v>0</v>
      </c>
    </row>
    <row r="1011" spans="3:16">
      <c r="C1011" s="779">
        <f>IF(D964="","-",+C1010+1)</f>
        <v>2063</v>
      </c>
      <c r="D1011" s="1393">
        <f t="shared" si="93"/>
        <v>0</v>
      </c>
      <c r="E1011" s="780">
        <f t="shared" si="94"/>
        <v>0</v>
      </c>
      <c r="F1011" s="780">
        <f t="shared" si="87"/>
        <v>0</v>
      </c>
      <c r="G1011" s="727">
        <f t="shared" si="88"/>
        <v>0</v>
      </c>
      <c r="H1011" s="785">
        <f>+J965*G1011+E1011</f>
        <v>0</v>
      </c>
      <c r="I1011" s="786">
        <f>+J966*G1011+E1011</f>
        <v>0</v>
      </c>
      <c r="J1011" s="783">
        <f t="shared" si="89"/>
        <v>0</v>
      </c>
      <c r="K1011" s="783"/>
      <c r="L1011" s="1304"/>
      <c r="M1011" s="783">
        <f t="shared" si="90"/>
        <v>0</v>
      </c>
      <c r="N1011" s="1304"/>
      <c r="O1011" s="783">
        <f t="shared" si="91"/>
        <v>0</v>
      </c>
      <c r="P1011" s="783">
        <f t="shared" si="92"/>
        <v>0</v>
      </c>
    </row>
    <row r="1012" spans="3:16">
      <c r="C1012" s="779">
        <f>IF(D964="","-",+C1011+1)</f>
        <v>2064</v>
      </c>
      <c r="D1012" s="1393">
        <f t="shared" si="93"/>
        <v>0</v>
      </c>
      <c r="E1012" s="780">
        <f t="shared" si="94"/>
        <v>0</v>
      </c>
      <c r="F1012" s="780">
        <f t="shared" si="87"/>
        <v>0</v>
      </c>
      <c r="G1012" s="727">
        <f t="shared" si="88"/>
        <v>0</v>
      </c>
      <c r="H1012" s="785">
        <f>+J965*G1012+E1012</f>
        <v>0</v>
      </c>
      <c r="I1012" s="786">
        <f>+J966*G1012+E1012</f>
        <v>0</v>
      </c>
      <c r="J1012" s="783">
        <f t="shared" si="89"/>
        <v>0</v>
      </c>
      <c r="K1012" s="783"/>
      <c r="L1012" s="1304"/>
      <c r="M1012" s="783">
        <f t="shared" si="90"/>
        <v>0</v>
      </c>
      <c r="N1012" s="1304"/>
      <c r="O1012" s="783">
        <f t="shared" si="91"/>
        <v>0</v>
      </c>
      <c r="P1012" s="783">
        <f t="shared" si="92"/>
        <v>0</v>
      </c>
    </row>
    <row r="1013" spans="3:16">
      <c r="C1013" s="779">
        <f>IF(D964="","-",+C1012+1)</f>
        <v>2065</v>
      </c>
      <c r="D1013" s="1393">
        <f t="shared" si="93"/>
        <v>0</v>
      </c>
      <c r="E1013" s="780">
        <f t="shared" si="94"/>
        <v>0</v>
      </c>
      <c r="F1013" s="780">
        <f t="shared" si="87"/>
        <v>0</v>
      </c>
      <c r="G1013" s="727">
        <f t="shared" si="88"/>
        <v>0</v>
      </c>
      <c r="H1013" s="785">
        <f>+J965*G1013+E1013</f>
        <v>0</v>
      </c>
      <c r="I1013" s="786">
        <f>+J966*G1013+E1013</f>
        <v>0</v>
      </c>
      <c r="J1013" s="783">
        <f t="shared" si="89"/>
        <v>0</v>
      </c>
      <c r="K1013" s="783"/>
      <c r="L1013" s="1304"/>
      <c r="M1013" s="783">
        <f t="shared" si="90"/>
        <v>0</v>
      </c>
      <c r="N1013" s="1304"/>
      <c r="O1013" s="783">
        <f t="shared" si="91"/>
        <v>0</v>
      </c>
      <c r="P1013" s="783">
        <f t="shared" si="92"/>
        <v>0</v>
      </c>
    </row>
    <row r="1014" spans="3:16">
      <c r="C1014" s="779">
        <f>IF(D964="","-",+C1013+1)</f>
        <v>2066</v>
      </c>
      <c r="D1014" s="1393">
        <f t="shared" si="93"/>
        <v>0</v>
      </c>
      <c r="E1014" s="780">
        <f t="shared" si="94"/>
        <v>0</v>
      </c>
      <c r="F1014" s="780">
        <f t="shared" si="87"/>
        <v>0</v>
      </c>
      <c r="G1014" s="727">
        <f t="shared" si="88"/>
        <v>0</v>
      </c>
      <c r="H1014" s="785">
        <f>+J965*G1014+E1014</f>
        <v>0</v>
      </c>
      <c r="I1014" s="786">
        <f>+J966*G1014+E1014</f>
        <v>0</v>
      </c>
      <c r="J1014" s="783">
        <f t="shared" si="89"/>
        <v>0</v>
      </c>
      <c r="K1014" s="783"/>
      <c r="L1014" s="1304"/>
      <c r="M1014" s="783">
        <f t="shared" si="90"/>
        <v>0</v>
      </c>
      <c r="N1014" s="1304"/>
      <c r="O1014" s="783">
        <f t="shared" si="91"/>
        <v>0</v>
      </c>
      <c r="P1014" s="783">
        <f t="shared" si="92"/>
        <v>0</v>
      </c>
    </row>
    <row r="1015" spans="3:16">
      <c r="C1015" s="779">
        <f>IF(D964="","-",+C1014+1)</f>
        <v>2067</v>
      </c>
      <c r="D1015" s="1393">
        <f t="shared" si="93"/>
        <v>0</v>
      </c>
      <c r="E1015" s="780">
        <f t="shared" si="94"/>
        <v>0</v>
      </c>
      <c r="F1015" s="780">
        <f t="shared" si="87"/>
        <v>0</v>
      </c>
      <c r="G1015" s="727">
        <f t="shared" si="88"/>
        <v>0</v>
      </c>
      <c r="H1015" s="785">
        <f>+J965*G1015+E1015</f>
        <v>0</v>
      </c>
      <c r="I1015" s="786">
        <f>+J966*G1015+E1015</f>
        <v>0</v>
      </c>
      <c r="J1015" s="783">
        <f t="shared" si="89"/>
        <v>0</v>
      </c>
      <c r="K1015" s="783"/>
      <c r="L1015" s="1304"/>
      <c r="M1015" s="783">
        <f t="shared" si="90"/>
        <v>0</v>
      </c>
      <c r="N1015" s="1304"/>
      <c r="O1015" s="783">
        <f t="shared" si="91"/>
        <v>0</v>
      </c>
      <c r="P1015" s="783">
        <f t="shared" si="92"/>
        <v>0</v>
      </c>
    </row>
    <row r="1016" spans="3:16">
      <c r="C1016" s="779">
        <f>IF(D964="","-",+C1015+1)</f>
        <v>2068</v>
      </c>
      <c r="D1016" s="1393">
        <f t="shared" si="93"/>
        <v>0</v>
      </c>
      <c r="E1016" s="780">
        <f t="shared" si="94"/>
        <v>0</v>
      </c>
      <c r="F1016" s="780">
        <f t="shared" si="87"/>
        <v>0</v>
      </c>
      <c r="G1016" s="727">
        <f t="shared" si="88"/>
        <v>0</v>
      </c>
      <c r="H1016" s="785">
        <f>+J965*G1016+E1016</f>
        <v>0</v>
      </c>
      <c r="I1016" s="786">
        <f>+J966*G1016+E1016</f>
        <v>0</v>
      </c>
      <c r="J1016" s="783">
        <f t="shared" si="89"/>
        <v>0</v>
      </c>
      <c r="K1016" s="783"/>
      <c r="L1016" s="1304"/>
      <c r="M1016" s="783">
        <f t="shared" si="90"/>
        <v>0</v>
      </c>
      <c r="N1016" s="1304"/>
      <c r="O1016" s="783">
        <f t="shared" si="91"/>
        <v>0</v>
      </c>
      <c r="P1016" s="783">
        <f t="shared" si="92"/>
        <v>0</v>
      </c>
    </row>
    <row r="1017" spans="3:16">
      <c r="C1017" s="779">
        <f>IF(D964="","-",+C1016+1)</f>
        <v>2069</v>
      </c>
      <c r="D1017" s="1393">
        <f t="shared" si="93"/>
        <v>0</v>
      </c>
      <c r="E1017" s="780">
        <f t="shared" si="94"/>
        <v>0</v>
      </c>
      <c r="F1017" s="780">
        <f t="shared" si="87"/>
        <v>0</v>
      </c>
      <c r="G1017" s="727">
        <f t="shared" si="88"/>
        <v>0</v>
      </c>
      <c r="H1017" s="785">
        <f>+J965*G1017+E1017</f>
        <v>0</v>
      </c>
      <c r="I1017" s="786">
        <f>+J966*G1017+E1017</f>
        <v>0</v>
      </c>
      <c r="J1017" s="783">
        <f t="shared" si="89"/>
        <v>0</v>
      </c>
      <c r="K1017" s="783"/>
      <c r="L1017" s="1304"/>
      <c r="M1017" s="783">
        <f t="shared" si="90"/>
        <v>0</v>
      </c>
      <c r="N1017" s="1304"/>
      <c r="O1017" s="783">
        <f t="shared" si="91"/>
        <v>0</v>
      </c>
      <c r="P1017" s="783">
        <f t="shared" si="92"/>
        <v>0</v>
      </c>
    </row>
    <row r="1018" spans="3:16">
      <c r="C1018" s="779">
        <f>IF(D964="","-",+C1017+1)</f>
        <v>2070</v>
      </c>
      <c r="D1018" s="1393">
        <f t="shared" si="93"/>
        <v>0</v>
      </c>
      <c r="E1018" s="780">
        <f t="shared" si="94"/>
        <v>0</v>
      </c>
      <c r="F1018" s="780">
        <f t="shared" si="87"/>
        <v>0</v>
      </c>
      <c r="G1018" s="727">
        <f t="shared" si="88"/>
        <v>0</v>
      </c>
      <c r="H1018" s="785">
        <f>+J965*G1018+E1018</f>
        <v>0</v>
      </c>
      <c r="I1018" s="786">
        <f>+J966*G1018+E1018</f>
        <v>0</v>
      </c>
      <c r="J1018" s="783">
        <f t="shared" si="89"/>
        <v>0</v>
      </c>
      <c r="K1018" s="783"/>
      <c r="L1018" s="1304"/>
      <c r="M1018" s="783">
        <f t="shared" si="90"/>
        <v>0</v>
      </c>
      <c r="N1018" s="1304"/>
      <c r="O1018" s="783">
        <f t="shared" si="91"/>
        <v>0</v>
      </c>
      <c r="P1018" s="783">
        <f t="shared" si="92"/>
        <v>0</v>
      </c>
    </row>
    <row r="1019" spans="3:16">
      <c r="C1019" s="779">
        <f>IF(D964="","-",+C1018+1)</f>
        <v>2071</v>
      </c>
      <c r="D1019" s="1393">
        <f t="shared" si="93"/>
        <v>0</v>
      </c>
      <c r="E1019" s="780">
        <f t="shared" si="94"/>
        <v>0</v>
      </c>
      <c r="F1019" s="780">
        <f t="shared" si="87"/>
        <v>0</v>
      </c>
      <c r="G1019" s="727">
        <f t="shared" si="88"/>
        <v>0</v>
      </c>
      <c r="H1019" s="785">
        <f>+J965*G1019+E1019</f>
        <v>0</v>
      </c>
      <c r="I1019" s="786">
        <f>+J966*G1019+E1019</f>
        <v>0</v>
      </c>
      <c r="J1019" s="783">
        <f t="shared" si="89"/>
        <v>0</v>
      </c>
      <c r="K1019" s="783"/>
      <c r="L1019" s="1304"/>
      <c r="M1019" s="783">
        <f t="shared" si="90"/>
        <v>0</v>
      </c>
      <c r="N1019" s="1304"/>
      <c r="O1019" s="783">
        <f t="shared" si="91"/>
        <v>0</v>
      </c>
      <c r="P1019" s="783">
        <f t="shared" si="92"/>
        <v>0</v>
      </c>
    </row>
    <row r="1020" spans="3:16">
      <c r="C1020" s="779">
        <f>IF(D964="","-",+C1019+1)</f>
        <v>2072</v>
      </c>
      <c r="D1020" s="1393">
        <f t="shared" si="93"/>
        <v>0</v>
      </c>
      <c r="E1020" s="780">
        <f t="shared" si="94"/>
        <v>0</v>
      </c>
      <c r="F1020" s="780">
        <f t="shared" si="87"/>
        <v>0</v>
      </c>
      <c r="G1020" s="727">
        <f t="shared" si="88"/>
        <v>0</v>
      </c>
      <c r="H1020" s="785">
        <f>+J965*G1020+E1020</f>
        <v>0</v>
      </c>
      <c r="I1020" s="786">
        <f>+J966*G1020+E1020</f>
        <v>0</v>
      </c>
      <c r="J1020" s="783">
        <f t="shared" si="89"/>
        <v>0</v>
      </c>
      <c r="K1020" s="783"/>
      <c r="L1020" s="1304"/>
      <c r="M1020" s="783">
        <f t="shared" si="90"/>
        <v>0</v>
      </c>
      <c r="N1020" s="1304"/>
      <c r="O1020" s="783">
        <f t="shared" si="91"/>
        <v>0</v>
      </c>
      <c r="P1020" s="783">
        <f t="shared" si="92"/>
        <v>0</v>
      </c>
    </row>
    <row r="1021" spans="3:16">
      <c r="C1021" s="779">
        <f>IF(D964="","-",+C1020+1)</f>
        <v>2073</v>
      </c>
      <c r="D1021" s="1393">
        <f t="shared" si="93"/>
        <v>0</v>
      </c>
      <c r="E1021" s="780">
        <f t="shared" si="94"/>
        <v>0</v>
      </c>
      <c r="F1021" s="780">
        <f t="shared" si="87"/>
        <v>0</v>
      </c>
      <c r="G1021" s="727">
        <f t="shared" si="88"/>
        <v>0</v>
      </c>
      <c r="H1021" s="785">
        <f>+J965*G1021+E1021</f>
        <v>0</v>
      </c>
      <c r="I1021" s="786">
        <f>+J966*G1021+E1021</f>
        <v>0</v>
      </c>
      <c r="J1021" s="783">
        <f t="shared" si="89"/>
        <v>0</v>
      </c>
      <c r="K1021" s="783"/>
      <c r="L1021" s="1304"/>
      <c r="M1021" s="783">
        <f t="shared" si="90"/>
        <v>0</v>
      </c>
      <c r="N1021" s="1304"/>
      <c r="O1021" s="783">
        <f t="shared" si="91"/>
        <v>0</v>
      </c>
      <c r="P1021" s="783">
        <f t="shared" si="92"/>
        <v>0</v>
      </c>
    </row>
    <row r="1022" spans="3:16">
      <c r="C1022" s="779">
        <f>IF(D964="","-",+C1021+1)</f>
        <v>2074</v>
      </c>
      <c r="D1022" s="1393">
        <f t="shared" si="93"/>
        <v>0</v>
      </c>
      <c r="E1022" s="780">
        <f t="shared" si="94"/>
        <v>0</v>
      </c>
      <c r="F1022" s="780">
        <f t="shared" si="87"/>
        <v>0</v>
      </c>
      <c r="G1022" s="727">
        <f t="shared" si="88"/>
        <v>0</v>
      </c>
      <c r="H1022" s="785">
        <f>+J965*G1022+E1022</f>
        <v>0</v>
      </c>
      <c r="I1022" s="786">
        <f>+J966*G1022+E1022</f>
        <v>0</v>
      </c>
      <c r="J1022" s="783">
        <f t="shared" si="89"/>
        <v>0</v>
      </c>
      <c r="K1022" s="783"/>
      <c r="L1022" s="1304"/>
      <c r="M1022" s="783">
        <f t="shared" si="90"/>
        <v>0</v>
      </c>
      <c r="N1022" s="1304"/>
      <c r="O1022" s="783">
        <f t="shared" si="91"/>
        <v>0</v>
      </c>
      <c r="P1022" s="783">
        <f t="shared" si="92"/>
        <v>0</v>
      </c>
    </row>
    <row r="1023" spans="3:16">
      <c r="C1023" s="779">
        <f>IF(D964="","-",+C1022+1)</f>
        <v>2075</v>
      </c>
      <c r="D1023" s="1393">
        <f t="shared" si="93"/>
        <v>0</v>
      </c>
      <c r="E1023" s="780">
        <f t="shared" si="94"/>
        <v>0</v>
      </c>
      <c r="F1023" s="780">
        <f t="shared" si="87"/>
        <v>0</v>
      </c>
      <c r="G1023" s="727">
        <f t="shared" si="88"/>
        <v>0</v>
      </c>
      <c r="H1023" s="785">
        <f>+J965*G1023+E1023</f>
        <v>0</v>
      </c>
      <c r="I1023" s="786">
        <f>+J966*G1023+E1023</f>
        <v>0</v>
      </c>
      <c r="J1023" s="783">
        <f t="shared" si="89"/>
        <v>0</v>
      </c>
      <c r="K1023" s="783"/>
      <c r="L1023" s="1304"/>
      <c r="M1023" s="783">
        <f t="shared" si="90"/>
        <v>0</v>
      </c>
      <c r="N1023" s="1304"/>
      <c r="O1023" s="783">
        <f t="shared" si="91"/>
        <v>0</v>
      </c>
      <c r="P1023" s="783">
        <f t="shared" si="92"/>
        <v>0</v>
      </c>
    </row>
    <row r="1024" spans="3:16">
      <c r="C1024" s="779">
        <f>IF(D964="","-",+C1023+1)</f>
        <v>2076</v>
      </c>
      <c r="D1024" s="1393">
        <f t="shared" si="93"/>
        <v>0</v>
      </c>
      <c r="E1024" s="780">
        <f t="shared" si="94"/>
        <v>0</v>
      </c>
      <c r="F1024" s="780">
        <f t="shared" si="87"/>
        <v>0</v>
      </c>
      <c r="G1024" s="727">
        <f t="shared" si="88"/>
        <v>0</v>
      </c>
      <c r="H1024" s="785">
        <f>+J965*G1024+E1024</f>
        <v>0</v>
      </c>
      <c r="I1024" s="786">
        <f>+J966*G1024+E1024</f>
        <v>0</v>
      </c>
      <c r="J1024" s="783">
        <f t="shared" si="89"/>
        <v>0</v>
      </c>
      <c r="K1024" s="783"/>
      <c r="L1024" s="1304"/>
      <c r="M1024" s="783">
        <f t="shared" si="90"/>
        <v>0</v>
      </c>
      <c r="N1024" s="1304"/>
      <c r="O1024" s="783">
        <f t="shared" si="91"/>
        <v>0</v>
      </c>
      <c r="P1024" s="783">
        <f t="shared" si="92"/>
        <v>0</v>
      </c>
    </row>
    <row r="1025" spans="3:16">
      <c r="C1025" s="779">
        <f>IF(D964="","-",+C1024+1)</f>
        <v>2077</v>
      </c>
      <c r="D1025" s="1393">
        <f t="shared" si="93"/>
        <v>0</v>
      </c>
      <c r="E1025" s="780">
        <f t="shared" si="94"/>
        <v>0</v>
      </c>
      <c r="F1025" s="780">
        <f t="shared" si="87"/>
        <v>0</v>
      </c>
      <c r="G1025" s="727">
        <f t="shared" si="88"/>
        <v>0</v>
      </c>
      <c r="H1025" s="785">
        <f>+J965*G1025+E1025</f>
        <v>0</v>
      </c>
      <c r="I1025" s="786">
        <f>+J966*G1025+E1025</f>
        <v>0</v>
      </c>
      <c r="J1025" s="783">
        <f t="shared" si="89"/>
        <v>0</v>
      </c>
      <c r="K1025" s="783"/>
      <c r="L1025" s="1304"/>
      <c r="M1025" s="783">
        <f t="shared" si="90"/>
        <v>0</v>
      </c>
      <c r="N1025" s="1304"/>
      <c r="O1025" s="783">
        <f t="shared" si="91"/>
        <v>0</v>
      </c>
      <c r="P1025" s="783">
        <f t="shared" si="92"/>
        <v>0</v>
      </c>
    </row>
    <row r="1026" spans="3:16">
      <c r="C1026" s="779">
        <f>IF(D964="","-",+C1025+1)</f>
        <v>2078</v>
      </c>
      <c r="D1026" s="1393">
        <f t="shared" si="93"/>
        <v>0</v>
      </c>
      <c r="E1026" s="780">
        <f t="shared" si="94"/>
        <v>0</v>
      </c>
      <c r="F1026" s="780">
        <f t="shared" si="87"/>
        <v>0</v>
      </c>
      <c r="G1026" s="727">
        <f t="shared" si="88"/>
        <v>0</v>
      </c>
      <c r="H1026" s="785">
        <f>+J965*G1026+E1026</f>
        <v>0</v>
      </c>
      <c r="I1026" s="786">
        <f>+J966*G1026+E1026</f>
        <v>0</v>
      </c>
      <c r="J1026" s="783">
        <f t="shared" si="89"/>
        <v>0</v>
      </c>
      <c r="K1026" s="783"/>
      <c r="L1026" s="1304"/>
      <c r="M1026" s="783">
        <f t="shared" si="90"/>
        <v>0</v>
      </c>
      <c r="N1026" s="1304"/>
      <c r="O1026" s="783">
        <f t="shared" si="91"/>
        <v>0</v>
      </c>
      <c r="P1026" s="783">
        <f t="shared" si="92"/>
        <v>0</v>
      </c>
    </row>
    <row r="1027" spans="3:16">
      <c r="C1027" s="779">
        <f>IF(D964="","-",+C1026+1)</f>
        <v>2079</v>
      </c>
      <c r="D1027" s="1393">
        <f t="shared" si="93"/>
        <v>0</v>
      </c>
      <c r="E1027" s="780">
        <f t="shared" si="94"/>
        <v>0</v>
      </c>
      <c r="F1027" s="780">
        <f t="shared" si="87"/>
        <v>0</v>
      </c>
      <c r="G1027" s="727">
        <f t="shared" si="88"/>
        <v>0</v>
      </c>
      <c r="H1027" s="785">
        <f>+J965*G1027+E1027</f>
        <v>0</v>
      </c>
      <c r="I1027" s="786">
        <f>+J966*G1027+E1027</f>
        <v>0</v>
      </c>
      <c r="J1027" s="783">
        <f t="shared" si="89"/>
        <v>0</v>
      </c>
      <c r="K1027" s="783"/>
      <c r="L1027" s="1304"/>
      <c r="M1027" s="783">
        <f t="shared" si="90"/>
        <v>0</v>
      </c>
      <c r="N1027" s="1304"/>
      <c r="O1027" s="783">
        <f t="shared" si="91"/>
        <v>0</v>
      </c>
      <c r="P1027" s="783">
        <f t="shared" si="92"/>
        <v>0</v>
      </c>
    </row>
    <row r="1028" spans="3:16">
      <c r="C1028" s="779">
        <f>IF(D964="","-",+C1027+1)</f>
        <v>2080</v>
      </c>
      <c r="D1028" s="1393">
        <f t="shared" si="93"/>
        <v>0</v>
      </c>
      <c r="E1028" s="780">
        <f t="shared" si="94"/>
        <v>0</v>
      </c>
      <c r="F1028" s="780">
        <f t="shared" si="87"/>
        <v>0</v>
      </c>
      <c r="G1028" s="727">
        <f t="shared" si="88"/>
        <v>0</v>
      </c>
      <c r="H1028" s="785">
        <f>+J965*G1028+E1028</f>
        <v>0</v>
      </c>
      <c r="I1028" s="786">
        <f>+J966*G1028+E1028</f>
        <v>0</v>
      </c>
      <c r="J1028" s="783">
        <f t="shared" si="89"/>
        <v>0</v>
      </c>
      <c r="K1028" s="783"/>
      <c r="L1028" s="1304"/>
      <c r="M1028" s="783">
        <f t="shared" si="90"/>
        <v>0</v>
      </c>
      <c r="N1028" s="1304"/>
      <c r="O1028" s="783">
        <f t="shared" si="91"/>
        <v>0</v>
      </c>
      <c r="P1028" s="783">
        <f t="shared" si="92"/>
        <v>0</v>
      </c>
    </row>
    <row r="1029" spans="3:16" ht="13.5" thickBot="1">
      <c r="C1029" s="789">
        <f>IF(D964="","-",+C1028+1)</f>
        <v>2081</v>
      </c>
      <c r="D1029" s="1470">
        <f t="shared" si="93"/>
        <v>0</v>
      </c>
      <c r="E1029" s="791">
        <f t="shared" si="94"/>
        <v>0</v>
      </c>
      <c r="F1029" s="791">
        <f t="shared" si="87"/>
        <v>0</v>
      </c>
      <c r="G1029" s="790">
        <f t="shared" si="88"/>
        <v>0</v>
      </c>
      <c r="H1029" s="792">
        <f>+J965*G1029+E1029</f>
        <v>0</v>
      </c>
      <c r="I1029" s="792">
        <f>+J966*G1029+E1029</f>
        <v>0</v>
      </c>
      <c r="J1029" s="793">
        <f t="shared" si="89"/>
        <v>0</v>
      </c>
      <c r="K1029" s="783"/>
      <c r="L1029" s="1305"/>
      <c r="M1029" s="793">
        <f t="shared" si="90"/>
        <v>0</v>
      </c>
      <c r="N1029" s="1305"/>
      <c r="O1029" s="793">
        <f t="shared" si="91"/>
        <v>0</v>
      </c>
      <c r="P1029" s="793">
        <f t="shared" si="92"/>
        <v>0</v>
      </c>
    </row>
    <row r="1030" spans="3:16">
      <c r="C1030" s="727" t="s">
        <v>93</v>
      </c>
      <c r="D1030" s="721"/>
      <c r="E1030" s="721">
        <f>SUM(E970:E1029)</f>
        <v>166250</v>
      </c>
      <c r="F1030" s="721"/>
      <c r="G1030" s="721"/>
      <c r="H1030" s="721">
        <f>SUM(H970:H1029)</f>
        <v>517930.68942114216</v>
      </c>
      <c r="I1030" s="721">
        <f>SUM(I970:I1029)</f>
        <v>517930.68942114216</v>
      </c>
      <c r="J1030" s="721">
        <f>SUM(J970:J1029)</f>
        <v>0</v>
      </c>
      <c r="K1030" s="721"/>
      <c r="L1030" s="721"/>
      <c r="M1030" s="721"/>
      <c r="N1030" s="721"/>
      <c r="O1030" s="721"/>
    </row>
    <row r="1031" spans="3:16">
      <c r="D1031" s="529"/>
      <c r="E1031" s="308"/>
      <c r="F1031" s="308"/>
      <c r="G1031" s="308"/>
      <c r="H1031" s="308"/>
      <c r="I1031" s="699"/>
      <c r="J1031" s="699"/>
      <c r="K1031" s="721"/>
      <c r="L1031" s="699"/>
      <c r="M1031" s="699"/>
      <c r="N1031" s="699"/>
      <c r="O1031" s="699"/>
    </row>
    <row r="1032" spans="3:16">
      <c r="C1032" s="308" t="s">
        <v>15</v>
      </c>
      <c r="D1032" s="529"/>
      <c r="E1032" s="308"/>
      <c r="F1032" s="308"/>
      <c r="G1032" s="308"/>
      <c r="H1032" s="308"/>
      <c r="I1032" s="699"/>
      <c r="J1032" s="699"/>
      <c r="K1032" s="721"/>
      <c r="L1032" s="699"/>
      <c r="M1032" s="699"/>
      <c r="N1032" s="699"/>
      <c r="O1032" s="699"/>
    </row>
    <row r="1033" spans="3:16">
      <c r="C1033" s="308"/>
      <c r="D1033" s="529"/>
      <c r="E1033" s="308"/>
      <c r="F1033" s="308"/>
      <c r="G1033" s="308"/>
      <c r="H1033" s="308"/>
      <c r="I1033" s="699"/>
      <c r="J1033" s="699"/>
      <c r="K1033" s="721"/>
      <c r="L1033" s="699"/>
      <c r="M1033" s="699"/>
      <c r="N1033" s="699"/>
      <c r="O1033" s="699"/>
    </row>
    <row r="1034" spans="3:16">
      <c r="C1034" s="740" t="s">
        <v>16</v>
      </c>
      <c r="D1034" s="727"/>
      <c r="E1034" s="727"/>
      <c r="F1034" s="727"/>
      <c r="G1034" s="727"/>
      <c r="H1034" s="721"/>
      <c r="I1034" s="721"/>
      <c r="J1034" s="795"/>
      <c r="K1034" s="795"/>
      <c r="L1034" s="795"/>
      <c r="M1034" s="795"/>
      <c r="N1034" s="795"/>
      <c r="O1034" s="795"/>
    </row>
    <row r="1035" spans="3:16">
      <c r="C1035" s="726" t="s">
        <v>273</v>
      </c>
      <c r="D1035" s="727"/>
      <c r="E1035" s="727"/>
      <c r="F1035" s="727"/>
      <c r="G1035" s="727"/>
      <c r="H1035" s="721"/>
      <c r="I1035" s="721"/>
      <c r="J1035" s="795"/>
      <c r="K1035" s="795"/>
      <c r="L1035" s="795"/>
      <c r="M1035" s="795"/>
      <c r="N1035" s="795"/>
      <c r="O1035" s="795"/>
    </row>
    <row r="1036" spans="3:16">
      <c r="C1036" s="726" t="s">
        <v>94</v>
      </c>
      <c r="D1036" s="727"/>
      <c r="E1036" s="727"/>
      <c r="F1036" s="727"/>
      <c r="G1036" s="727"/>
      <c r="H1036" s="721"/>
      <c r="I1036" s="721"/>
      <c r="J1036" s="795"/>
      <c r="K1036" s="795"/>
      <c r="L1036" s="795"/>
      <c r="M1036" s="795"/>
      <c r="N1036" s="795"/>
      <c r="O1036" s="795"/>
    </row>
  </sheetData>
  <mergeCells count="31">
    <mergeCell ref="D872:I873"/>
    <mergeCell ref="L876:O876"/>
    <mergeCell ref="L789:O789"/>
    <mergeCell ref="L702:O702"/>
    <mergeCell ref="D785:I786"/>
    <mergeCell ref="L441:O441"/>
    <mergeCell ref="D524:I525"/>
    <mergeCell ref="L528:O528"/>
    <mergeCell ref="D611:I612"/>
    <mergeCell ref="L615:O615"/>
    <mergeCell ref="A3:P3"/>
    <mergeCell ref="C11:I12"/>
    <mergeCell ref="A4:P4"/>
    <mergeCell ref="A5:P5"/>
    <mergeCell ref="A6:P6"/>
    <mergeCell ref="D959:I960"/>
    <mergeCell ref="L963:O963"/>
    <mergeCell ref="C51:D52"/>
    <mergeCell ref="C60:D61"/>
    <mergeCell ref="C71:D72"/>
    <mergeCell ref="D698:I699"/>
    <mergeCell ref="D437:I438"/>
    <mergeCell ref="J77:P80"/>
    <mergeCell ref="L180:O180"/>
    <mergeCell ref="D176:I177"/>
    <mergeCell ref="D263:I264"/>
    <mergeCell ref="L267:O267"/>
    <mergeCell ref="D350:I351"/>
    <mergeCell ref="L354:O354"/>
    <mergeCell ref="L93:O93"/>
    <mergeCell ref="D89:I89"/>
  </mergeCells>
  <phoneticPr fontId="0" type="noConversion"/>
  <conditionalFormatting sqref="C100:C159">
    <cfRule type="cellIs" dxfId="14" priority="21" stopIfTrue="1" operator="equal">
      <formula>$J$92</formula>
    </cfRule>
  </conditionalFormatting>
  <conditionalFormatting sqref="C187:C246">
    <cfRule type="cellIs" dxfId="13" priority="10" stopIfTrue="1" operator="equal">
      <formula>$J$92</formula>
    </cfRule>
  </conditionalFormatting>
  <conditionalFormatting sqref="C274:C333">
    <cfRule type="cellIs" dxfId="12" priority="9" stopIfTrue="1" operator="equal">
      <formula>$J$92</formula>
    </cfRule>
  </conditionalFormatting>
  <conditionalFormatting sqref="C361:C420">
    <cfRule type="cellIs" dxfId="11" priority="8" stopIfTrue="1" operator="equal">
      <formula>$J$92</formula>
    </cfRule>
  </conditionalFormatting>
  <conditionalFormatting sqref="C448:C507">
    <cfRule type="cellIs" dxfId="10" priority="7" stopIfTrue="1" operator="equal">
      <formula>$J$92</formula>
    </cfRule>
  </conditionalFormatting>
  <conditionalFormatting sqref="C535:C594">
    <cfRule type="cellIs" dxfId="9" priority="6" stopIfTrue="1" operator="equal">
      <formula>$J$92</formula>
    </cfRule>
  </conditionalFormatting>
  <conditionalFormatting sqref="C622:C681">
    <cfRule type="cellIs" dxfId="8" priority="5" stopIfTrue="1" operator="equal">
      <formula>$J$92</formula>
    </cfRule>
  </conditionalFormatting>
  <conditionalFormatting sqref="C709:C768">
    <cfRule type="cellIs" dxfId="7" priority="4" stopIfTrue="1" operator="equal">
      <formula>$J$92</formula>
    </cfRule>
  </conditionalFormatting>
  <conditionalFormatting sqref="C796:C855">
    <cfRule type="cellIs" dxfId="6" priority="3" stopIfTrue="1" operator="equal">
      <formula>$J$92</formula>
    </cfRule>
  </conditionalFormatting>
  <conditionalFormatting sqref="C883:C942">
    <cfRule type="cellIs" dxfId="5" priority="2" stopIfTrue="1" operator="equal">
      <formula>$J$92</formula>
    </cfRule>
  </conditionalFormatting>
  <conditionalFormatting sqref="C970:C1029">
    <cfRule type="cellIs" dxfId="4" priority="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0" manualBreakCount="10">
    <brk id="80" max="16383" man="1"/>
    <brk id="166" max="16383" man="1"/>
    <brk id="254" max="16383" man="1"/>
    <brk id="341" max="16383" man="1"/>
    <brk id="428" max="16383" man="1"/>
    <brk id="515" max="16383" man="1"/>
    <brk id="602" max="16383" man="1"/>
    <brk id="689" max="16383" man="1"/>
    <brk id="776" max="16383" man="1"/>
    <brk id="86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95" t="s">
        <v>416</v>
      </c>
    </row>
    <row r="2" spans="1:5" ht="15.75">
      <c r="A2" s="995" t="s">
        <v>416</v>
      </c>
    </row>
    <row r="3" spans="1:5" ht="15">
      <c r="B3" s="1506" t="str">
        <f>TCOS!$F$5</f>
        <v>AEPTCo subsidiaries in PJM</v>
      </c>
      <c r="C3" s="1506" t="str">
        <f>TCOS!$F$5</f>
        <v>AEPTCo subsidiaries in PJM</v>
      </c>
      <c r="D3" s="1506" t="str">
        <f>TCOS!$F$5</f>
        <v>AEPTCo subsidiaries in PJM</v>
      </c>
      <c r="E3" s="1506" t="str">
        <f>TCOS!$F$5</f>
        <v>AEPTCo subsidiaries in PJM</v>
      </c>
    </row>
    <row r="4" spans="1:5" ht="15">
      <c r="B4" s="1498" t="str">
        <f>"Cost of Service Formula Rate Using Actual/Projected FF1 Balances"</f>
        <v>Cost of Service Formula Rate Using Actual/Projected FF1 Balances</v>
      </c>
      <c r="C4" s="1498"/>
      <c r="D4" s="1498"/>
      <c r="E4" s="1498"/>
    </row>
    <row r="5" spans="1:5" ht="15">
      <c r="B5" s="1506" t="s">
        <v>599</v>
      </c>
      <c r="C5" s="1506"/>
      <c r="D5" s="1506"/>
      <c r="E5" s="1506"/>
    </row>
    <row r="6" spans="1:5" ht="15">
      <c r="B6" s="1509" t="str">
        <f>+TCOS!F9</f>
        <v>AEP Indiana Michigan Transmission Company</v>
      </c>
      <c r="C6" s="1506"/>
      <c r="D6" s="1506"/>
      <c r="E6" s="1506"/>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6"/>
  <sheetViews>
    <sheetView topLeftCell="A10" zoomScaleNormal="100" zoomScaleSheetLayoutView="70" workbookViewId="0">
      <selection activeCell="I56" sqref="I56"/>
    </sheetView>
  </sheetViews>
  <sheetFormatPr defaultColWidth="11.42578125" defaultRowHeight="12.75"/>
  <cols>
    <col min="1" max="1" width="10.28515625" style="1176" customWidth="1"/>
    <col min="2" max="2" width="52.28515625" style="1149" customWidth="1"/>
    <col min="3" max="7" width="20.28515625" style="1149" customWidth="1"/>
    <col min="8" max="8" width="23" style="1149" customWidth="1"/>
    <col min="9" max="11" width="20.28515625" style="1149" customWidth="1"/>
    <col min="12" max="12" width="20" style="1149" customWidth="1"/>
    <col min="13" max="14" width="15.140625" style="1149" customWidth="1"/>
    <col min="15" max="16384" width="11.42578125" style="1149"/>
  </cols>
  <sheetData>
    <row r="1" spans="1:12" ht="15">
      <c r="A1" s="1569" t="str">
        <f>TCOS!F5</f>
        <v>AEPTCo subsidiaries in PJM</v>
      </c>
      <c r="B1" s="1569" t="s">
        <v>331</v>
      </c>
      <c r="C1" s="1569" t="s">
        <v>331</v>
      </c>
      <c r="D1" s="1569" t="s">
        <v>331</v>
      </c>
      <c r="E1" s="1569" t="s">
        <v>331</v>
      </c>
      <c r="F1" s="1569" t="s">
        <v>331</v>
      </c>
      <c r="G1" s="1569" t="s">
        <v>331</v>
      </c>
      <c r="H1" s="1148"/>
    </row>
    <row r="2" spans="1:12" ht="15">
      <c r="A2" s="1498" t="str">
        <f>"Cost of Service Formula Rate Using Actual/Projected FF1 Balances"</f>
        <v>Cost of Service Formula Rate Using Actual/Projected FF1 Balances</v>
      </c>
      <c r="B2" s="1498"/>
      <c r="C2" s="1498"/>
      <c r="D2" s="1498"/>
      <c r="E2" s="1498"/>
      <c r="F2" s="1498"/>
      <c r="G2" s="1498"/>
      <c r="H2" s="1150"/>
      <c r="I2" s="1150"/>
      <c r="J2" s="1150"/>
      <c r="L2" s="1151"/>
    </row>
    <row r="3" spans="1:12" ht="15">
      <c r="A3" s="1498" t="s">
        <v>734</v>
      </c>
      <c r="B3" s="1498"/>
      <c r="C3" s="1498"/>
      <c r="D3" s="1498"/>
      <c r="E3" s="1498"/>
      <c r="F3" s="1498"/>
      <c r="G3" s="1498"/>
      <c r="H3" s="1150"/>
      <c r="I3" s="1150"/>
      <c r="J3" s="1150"/>
    </row>
    <row r="4" spans="1:12" ht="15">
      <c r="A4" s="1504" t="str">
        <f>TCOS!F9</f>
        <v>AEP Indiana Michigan Transmission Company</v>
      </c>
      <c r="B4" s="1504"/>
      <c r="C4" s="1504"/>
      <c r="D4" s="1504"/>
      <c r="E4" s="1504"/>
      <c r="F4" s="1504"/>
      <c r="G4" s="1504"/>
      <c r="H4" s="1150"/>
      <c r="I4" s="1150"/>
      <c r="J4" s="1150"/>
    </row>
    <row r="5" spans="1:12">
      <c r="A5" s="1150"/>
      <c r="B5" s="1152"/>
      <c r="C5" s="1152"/>
      <c r="D5" s="1152"/>
      <c r="E5" s="1153"/>
      <c r="F5" s="1154"/>
      <c r="H5" s="1006"/>
      <c r="I5" s="1006"/>
      <c r="J5" s="1006"/>
      <c r="K5" s="1006"/>
      <c r="L5" s="1006"/>
    </row>
    <row r="6" spans="1:12" ht="12.75" customHeight="1">
      <c r="A6" s="1148"/>
      <c r="B6" s="1067"/>
      <c r="C6" s="1499" t="s">
        <v>341</v>
      </c>
      <c r="D6" s="1500"/>
      <c r="E6" s="1500"/>
      <c r="F6" s="1500"/>
      <c r="G6" s="1501"/>
      <c r="H6" s="1155"/>
      <c r="I6" s="1006"/>
      <c r="J6" s="1006"/>
      <c r="K6" s="1006"/>
      <c r="L6" s="1006"/>
    </row>
    <row r="7" spans="1:12" s="1158" customFormat="1" ht="38.25">
      <c r="A7" s="1156" t="s">
        <v>703</v>
      </c>
      <c r="B7" s="1072" t="s">
        <v>704</v>
      </c>
      <c r="C7" s="1102" t="s">
        <v>735</v>
      </c>
      <c r="D7" s="1073" t="s">
        <v>173</v>
      </c>
      <c r="E7" s="1073" t="s">
        <v>736</v>
      </c>
      <c r="F7" s="1073" t="s">
        <v>737</v>
      </c>
      <c r="G7" s="1157" t="s">
        <v>341</v>
      </c>
      <c r="H7" s="1155"/>
      <c r="I7" s="1006"/>
      <c r="J7" s="1006"/>
      <c r="K7" s="1006"/>
      <c r="L7" s="1006"/>
    </row>
    <row r="8" spans="1:12" s="1161" customFormat="1">
      <c r="A8" s="1159"/>
      <c r="B8" s="1077" t="s">
        <v>708</v>
      </c>
      <c r="C8" s="1103" t="s">
        <v>725</v>
      </c>
      <c r="D8" s="1078" t="s">
        <v>726</v>
      </c>
      <c r="E8" s="1078" t="s">
        <v>709</v>
      </c>
      <c r="F8" s="1078" t="s">
        <v>710</v>
      </c>
      <c r="G8" s="1160" t="s">
        <v>738</v>
      </c>
      <c r="H8" s="1155"/>
      <c r="I8" s="1006"/>
      <c r="J8" s="1006"/>
      <c r="K8" s="1006"/>
      <c r="L8" s="1006"/>
    </row>
    <row r="9" spans="1:12" s="1161" customFormat="1" ht="44.25" customHeight="1">
      <c r="A9" s="1159"/>
      <c r="B9" s="1077" t="s">
        <v>714</v>
      </c>
      <c r="C9" s="1162" t="s">
        <v>739</v>
      </c>
      <c r="D9" s="1081" t="s">
        <v>740</v>
      </c>
      <c r="E9" s="1081" t="s">
        <v>741</v>
      </c>
      <c r="F9" s="1081" t="s">
        <v>742</v>
      </c>
      <c r="G9" s="1163"/>
      <c r="H9" s="1155"/>
      <c r="I9" s="1006"/>
      <c r="J9" s="1006"/>
      <c r="K9" s="1006"/>
      <c r="L9" s="1006"/>
    </row>
    <row r="10" spans="1:12">
      <c r="A10" s="1159">
        <v>1</v>
      </c>
      <c r="B10" s="1083" t="s">
        <v>715</v>
      </c>
      <c r="C10" s="1164">
        <v>1578614716.8639998</v>
      </c>
      <c r="D10" s="1164">
        <v>0</v>
      </c>
      <c r="E10" s="1164">
        <v>0</v>
      </c>
      <c r="F10" s="1164">
        <v>0</v>
      </c>
      <c r="G10" s="1165">
        <f>+C10-D10-E10-F10</f>
        <v>1578614716.8639998</v>
      </c>
      <c r="H10" s="1155"/>
      <c r="I10" s="1006"/>
      <c r="J10" s="1006"/>
      <c r="K10" s="1006"/>
      <c r="L10" s="1006"/>
    </row>
    <row r="11" spans="1:12">
      <c r="A11" s="1159">
        <f>+A10+1</f>
        <v>2</v>
      </c>
      <c r="B11" s="1083" t="s">
        <v>576</v>
      </c>
      <c r="C11" s="1164">
        <v>1594257734.4029996</v>
      </c>
      <c r="D11" s="1164">
        <v>0</v>
      </c>
      <c r="E11" s="1164">
        <v>0</v>
      </c>
      <c r="F11" s="1164">
        <v>0</v>
      </c>
      <c r="G11" s="1165">
        <f t="shared" ref="G11:G22" si="0">+C11-D11-E11-F11</f>
        <v>1594257734.4029996</v>
      </c>
      <c r="H11" s="1155"/>
      <c r="I11" s="1006"/>
      <c r="J11" s="1006"/>
      <c r="K11" s="1006"/>
      <c r="L11" s="1006"/>
    </row>
    <row r="12" spans="1:12">
      <c r="A12" s="1159">
        <f t="shared" ref="A12:A23" si="1">+A11+1</f>
        <v>3</v>
      </c>
      <c r="B12" s="1085" t="s">
        <v>577</v>
      </c>
      <c r="C12" s="1164">
        <v>1607566769.5900002</v>
      </c>
      <c r="D12" s="1164">
        <v>0</v>
      </c>
      <c r="E12" s="1164">
        <v>0</v>
      </c>
      <c r="F12" s="1164">
        <v>0</v>
      </c>
      <c r="G12" s="1165">
        <f t="shared" si="0"/>
        <v>1607566769.5900002</v>
      </c>
      <c r="H12" s="1155"/>
      <c r="I12" s="1006"/>
      <c r="J12" s="1006"/>
      <c r="K12" s="1006"/>
      <c r="L12" s="1006"/>
    </row>
    <row r="13" spans="1:12">
      <c r="A13" s="1159">
        <f t="shared" si="1"/>
        <v>4</v>
      </c>
      <c r="B13" s="1085" t="s">
        <v>716</v>
      </c>
      <c r="C13" s="1164">
        <v>1623056124.0420001</v>
      </c>
      <c r="D13" s="1164">
        <v>0</v>
      </c>
      <c r="E13" s="1164">
        <v>0</v>
      </c>
      <c r="F13" s="1164">
        <v>0</v>
      </c>
      <c r="G13" s="1165">
        <f t="shared" si="0"/>
        <v>1623056124.0420001</v>
      </c>
      <c r="H13" s="1155"/>
      <c r="I13" s="1006"/>
      <c r="J13" s="1006"/>
      <c r="K13" s="1006"/>
      <c r="L13" s="1006"/>
    </row>
    <row r="14" spans="1:12">
      <c r="A14" s="1159">
        <f t="shared" si="1"/>
        <v>5</v>
      </c>
      <c r="B14" s="1085" t="s">
        <v>579</v>
      </c>
      <c r="C14" s="1164">
        <v>1636781354.8749995</v>
      </c>
      <c r="D14" s="1164">
        <v>0</v>
      </c>
      <c r="E14" s="1164">
        <v>0</v>
      </c>
      <c r="F14" s="1164">
        <v>0</v>
      </c>
      <c r="G14" s="1165">
        <f t="shared" si="0"/>
        <v>1636781354.8749995</v>
      </c>
      <c r="H14" s="1155"/>
      <c r="I14" s="1006"/>
      <c r="J14" s="1006"/>
      <c r="K14" s="1006"/>
      <c r="L14" s="1006"/>
    </row>
    <row r="15" spans="1:12">
      <c r="A15" s="1159">
        <f t="shared" si="1"/>
        <v>6</v>
      </c>
      <c r="B15" s="1085" t="s">
        <v>580</v>
      </c>
      <c r="C15" s="1164">
        <v>1641547297.0079999</v>
      </c>
      <c r="D15" s="1164">
        <v>0</v>
      </c>
      <c r="E15" s="1164">
        <v>0</v>
      </c>
      <c r="F15" s="1164">
        <v>0</v>
      </c>
      <c r="G15" s="1165">
        <f t="shared" si="0"/>
        <v>1641547297.0079999</v>
      </c>
      <c r="H15" s="1155"/>
      <c r="I15" s="1006"/>
      <c r="J15" s="1006"/>
      <c r="K15" s="1006"/>
      <c r="L15" s="1006"/>
    </row>
    <row r="16" spans="1:12">
      <c r="A16" s="1159">
        <f t="shared" si="1"/>
        <v>7</v>
      </c>
      <c r="B16" s="1085" t="s">
        <v>581</v>
      </c>
      <c r="C16" s="1164">
        <v>1650408125.8150001</v>
      </c>
      <c r="D16" s="1164">
        <v>0</v>
      </c>
      <c r="E16" s="1164">
        <v>0</v>
      </c>
      <c r="F16" s="1164">
        <v>0</v>
      </c>
      <c r="G16" s="1165">
        <f t="shared" si="0"/>
        <v>1650408125.8150001</v>
      </c>
      <c r="H16" s="1155"/>
      <c r="I16" s="1006"/>
      <c r="J16" s="1006"/>
      <c r="K16" s="1006"/>
      <c r="L16" s="1006"/>
    </row>
    <row r="17" spans="1:12">
      <c r="A17" s="1159">
        <f t="shared" si="1"/>
        <v>8</v>
      </c>
      <c r="B17" s="1085" t="s">
        <v>582</v>
      </c>
      <c r="C17" s="1164">
        <v>1665235103.0450001</v>
      </c>
      <c r="D17" s="1164">
        <v>0</v>
      </c>
      <c r="E17" s="1164">
        <v>0</v>
      </c>
      <c r="F17" s="1164">
        <v>0</v>
      </c>
      <c r="G17" s="1165">
        <f t="shared" si="0"/>
        <v>1665235103.0450001</v>
      </c>
      <c r="H17" s="1155"/>
      <c r="I17" s="1006"/>
      <c r="J17" s="1006"/>
      <c r="K17" s="1006"/>
      <c r="L17" s="1006"/>
    </row>
    <row r="18" spans="1:12">
      <c r="A18" s="1159">
        <f t="shared" si="1"/>
        <v>9</v>
      </c>
      <c r="B18" s="1085" t="s">
        <v>717</v>
      </c>
      <c r="C18" s="1164">
        <v>1659764036.9530001</v>
      </c>
      <c r="D18" s="1164">
        <v>0</v>
      </c>
      <c r="E18" s="1164">
        <v>0</v>
      </c>
      <c r="F18" s="1164">
        <v>0</v>
      </c>
      <c r="G18" s="1165">
        <f t="shared" si="0"/>
        <v>1659764036.9530001</v>
      </c>
      <c r="H18" s="1155"/>
      <c r="I18" s="1006"/>
      <c r="J18" s="1006"/>
      <c r="K18" s="1006"/>
      <c r="L18" s="1006"/>
    </row>
    <row r="19" spans="1:12">
      <c r="A19" s="1159">
        <f t="shared" si="1"/>
        <v>10</v>
      </c>
      <c r="B19" s="1085" t="s">
        <v>584</v>
      </c>
      <c r="C19" s="1164">
        <v>1673950364.1049995</v>
      </c>
      <c r="D19" s="1164">
        <v>0</v>
      </c>
      <c r="E19" s="1164">
        <v>0</v>
      </c>
      <c r="F19" s="1164">
        <v>0</v>
      </c>
      <c r="G19" s="1165">
        <f t="shared" si="0"/>
        <v>1673950364.1049995</v>
      </c>
      <c r="H19" s="1155"/>
      <c r="I19" s="1006"/>
      <c r="J19" s="1006"/>
      <c r="K19" s="1006"/>
      <c r="L19" s="1006"/>
    </row>
    <row r="20" spans="1:12">
      <c r="A20" s="1159">
        <f t="shared" si="1"/>
        <v>11</v>
      </c>
      <c r="B20" s="1085" t="s">
        <v>585</v>
      </c>
      <c r="C20" s="1164">
        <v>1688887450.6250005</v>
      </c>
      <c r="D20" s="1164">
        <v>0</v>
      </c>
      <c r="E20" s="1164">
        <v>0</v>
      </c>
      <c r="F20" s="1164">
        <v>0</v>
      </c>
      <c r="G20" s="1165">
        <f t="shared" si="0"/>
        <v>1688887450.6250005</v>
      </c>
      <c r="H20" s="1155"/>
      <c r="I20" s="1006"/>
      <c r="J20" s="1006"/>
      <c r="K20" s="1006"/>
      <c r="L20" s="1006"/>
    </row>
    <row r="21" spans="1:12">
      <c r="A21" s="1159">
        <f t="shared" si="1"/>
        <v>12</v>
      </c>
      <c r="B21" s="1085" t="s">
        <v>586</v>
      </c>
      <c r="C21" s="1164">
        <v>1682787381.0249996</v>
      </c>
      <c r="D21" s="1164">
        <v>0</v>
      </c>
      <c r="E21" s="1164">
        <v>0</v>
      </c>
      <c r="F21" s="1164">
        <v>0</v>
      </c>
      <c r="G21" s="1165">
        <f t="shared" si="0"/>
        <v>1682787381.0249996</v>
      </c>
      <c r="H21" s="1155"/>
      <c r="I21" s="1006"/>
      <c r="J21" s="1006"/>
      <c r="K21" s="1006"/>
      <c r="L21" s="1006"/>
    </row>
    <row r="22" spans="1:12">
      <c r="A22" s="1166">
        <f t="shared" si="1"/>
        <v>13</v>
      </c>
      <c r="B22" s="1087" t="s">
        <v>718</v>
      </c>
      <c r="C22" s="1164">
        <v>1706013855.4969997</v>
      </c>
      <c r="D22" s="1164">
        <v>0</v>
      </c>
      <c r="E22" s="1164">
        <v>0</v>
      </c>
      <c r="F22" s="1164">
        <v>0</v>
      </c>
      <c r="G22" s="1165">
        <f t="shared" si="0"/>
        <v>1706013855.4969997</v>
      </c>
      <c r="H22" s="1155"/>
      <c r="I22" s="1006"/>
      <c r="J22" s="1006"/>
      <c r="K22" s="1006"/>
      <c r="L22" s="1006"/>
    </row>
    <row r="23" spans="1:12" ht="13.5" thickBot="1">
      <c r="A23" s="1166">
        <f t="shared" si="1"/>
        <v>14</v>
      </c>
      <c r="B23" s="1088" t="s">
        <v>719</v>
      </c>
      <c r="C23" s="1110">
        <f>SUM(C10:C22)/13</f>
        <v>1646836177.9882307</v>
      </c>
      <c r="D23" s="1089">
        <f>SUM(D10:D22)/13</f>
        <v>0</v>
      </c>
      <c r="E23" s="1089">
        <f>SUM(E10:E22)/13</f>
        <v>0</v>
      </c>
      <c r="F23" s="1089">
        <f>SUM(F10:F22)/13</f>
        <v>0</v>
      </c>
      <c r="G23" s="1167">
        <f>SUM(G10:G22)/13</f>
        <v>1646836177.9882307</v>
      </c>
      <c r="H23" s="1155"/>
      <c r="I23" s="1006"/>
      <c r="J23" s="1006"/>
      <c r="K23" s="1006"/>
      <c r="L23" s="1006"/>
    </row>
    <row r="24" spans="1:12" ht="13.5" thickTop="1">
      <c r="A24" s="1148"/>
      <c r="B24" s="1091"/>
      <c r="C24" s="1092"/>
      <c r="D24" s="1093"/>
      <c r="E24" s="1093"/>
      <c r="F24" s="1093"/>
      <c r="G24" s="1092"/>
      <c r="H24" s="1092"/>
      <c r="I24" s="1006"/>
      <c r="J24" s="1006"/>
      <c r="K24" s="1006"/>
      <c r="L24" s="1006"/>
    </row>
    <row r="25" spans="1:12" ht="12.75" customHeight="1">
      <c r="A25" s="1148"/>
      <c r="B25" s="1067"/>
      <c r="C25" s="1570" t="s">
        <v>542</v>
      </c>
      <c r="D25" s="1571"/>
      <c r="E25" s="1571"/>
      <c r="F25" s="1571"/>
      <c r="G25" s="1571"/>
      <c r="H25" s="1572"/>
      <c r="I25" s="1006"/>
      <c r="J25" s="1006"/>
      <c r="K25" s="1006"/>
      <c r="L25" s="1006"/>
    </row>
    <row r="26" spans="1:12" s="1158" customFormat="1" ht="38.25">
      <c r="A26" s="1156" t="s">
        <v>703</v>
      </c>
      <c r="B26" s="1072" t="s">
        <v>704</v>
      </c>
      <c r="C26" s="1102" t="s">
        <v>743</v>
      </c>
      <c r="D26" s="1073" t="s">
        <v>744</v>
      </c>
      <c r="E26" s="1073" t="s">
        <v>758</v>
      </c>
      <c r="F26" s="1073" t="s">
        <v>759</v>
      </c>
      <c r="G26" s="1073" t="s">
        <v>745</v>
      </c>
      <c r="H26" s="1157" t="s">
        <v>757</v>
      </c>
      <c r="I26" s="1006"/>
      <c r="J26" s="1006"/>
      <c r="K26" s="1006"/>
      <c r="L26" s="1006"/>
    </row>
    <row r="27" spans="1:12" s="1161" customFormat="1">
      <c r="A27" s="1159"/>
      <c r="B27" s="1077" t="s">
        <v>708</v>
      </c>
      <c r="C27" s="1103" t="s">
        <v>725</v>
      </c>
      <c r="D27" s="1078" t="s">
        <v>726</v>
      </c>
      <c r="E27" s="1078" t="s">
        <v>709</v>
      </c>
      <c r="F27" s="1078" t="s">
        <v>710</v>
      </c>
      <c r="G27" s="1078" t="s">
        <v>746</v>
      </c>
      <c r="H27" s="1160" t="s">
        <v>747</v>
      </c>
      <c r="I27" s="1006"/>
      <c r="J27" s="1006"/>
      <c r="K27" s="1006"/>
      <c r="L27" s="1006"/>
    </row>
    <row r="28" spans="1:12" s="1161" customFormat="1" ht="44.25" customHeight="1">
      <c r="A28" s="1159"/>
      <c r="B28" s="1077" t="s">
        <v>714</v>
      </c>
      <c r="C28" s="1162" t="s">
        <v>748</v>
      </c>
      <c r="D28" s="1081" t="s">
        <v>749</v>
      </c>
      <c r="E28" s="1081" t="s">
        <v>750</v>
      </c>
      <c r="F28" s="1081" t="s">
        <v>751</v>
      </c>
      <c r="G28" s="1081" t="s">
        <v>752</v>
      </c>
      <c r="H28" s="1168"/>
      <c r="I28" s="1006"/>
      <c r="J28" s="1006"/>
      <c r="K28" s="1006"/>
      <c r="L28" s="1006"/>
    </row>
    <row r="29" spans="1:12">
      <c r="A29" s="1159">
        <f>+A23+1</f>
        <v>15</v>
      </c>
      <c r="B29" s="1083" t="s">
        <v>715</v>
      </c>
      <c r="C29" s="1164">
        <v>0</v>
      </c>
      <c r="D29" s="1164">
        <v>0</v>
      </c>
      <c r="E29" s="1164">
        <v>1224250000</v>
      </c>
      <c r="F29" s="1164">
        <v>0</v>
      </c>
      <c r="G29" s="1164">
        <v>0</v>
      </c>
      <c r="H29" s="1165">
        <f>+C29-D29+E29+F29-G29</f>
        <v>1224250000</v>
      </c>
      <c r="I29" s="1006"/>
      <c r="J29" s="1006"/>
      <c r="K29" s="1006"/>
      <c r="L29" s="1006"/>
    </row>
    <row r="30" spans="1:12">
      <c r="A30" s="1159">
        <f>+A29+1</f>
        <v>16</v>
      </c>
      <c r="B30" s="1083" t="s">
        <v>576</v>
      </c>
      <c r="C30" s="1164">
        <v>0</v>
      </c>
      <c r="D30" s="1164">
        <v>0</v>
      </c>
      <c r="E30" s="1164">
        <v>1224250000</v>
      </c>
      <c r="F30" s="1164">
        <v>0</v>
      </c>
      <c r="G30" s="1164">
        <v>0</v>
      </c>
      <c r="H30" s="1165">
        <f t="shared" ref="H30:H41" si="2">+C30-D30+E30+F30-G30</f>
        <v>1224250000</v>
      </c>
      <c r="I30" s="1006"/>
      <c r="J30" s="1006"/>
      <c r="K30" s="1006"/>
      <c r="L30" s="1006"/>
    </row>
    <row r="31" spans="1:12">
      <c r="A31" s="1159">
        <f t="shared" ref="A31:A42" si="3">+A30+1</f>
        <v>17</v>
      </c>
      <c r="B31" s="1085" t="s">
        <v>577</v>
      </c>
      <c r="C31" s="1164">
        <v>0</v>
      </c>
      <c r="D31" s="1164">
        <v>0</v>
      </c>
      <c r="E31" s="1164">
        <v>1224250000</v>
      </c>
      <c r="F31" s="1164">
        <v>0</v>
      </c>
      <c r="G31" s="1164">
        <v>0</v>
      </c>
      <c r="H31" s="1165">
        <f t="shared" si="2"/>
        <v>1224250000</v>
      </c>
      <c r="I31" s="1006"/>
      <c r="J31" s="1006"/>
      <c r="K31" s="1006"/>
      <c r="L31" s="1006"/>
    </row>
    <row r="32" spans="1:12">
      <c r="A32" s="1159">
        <f t="shared" si="3"/>
        <v>18</v>
      </c>
      <c r="B32" s="1085" t="s">
        <v>716</v>
      </c>
      <c r="C32" s="1164">
        <v>0</v>
      </c>
      <c r="D32" s="1164">
        <v>0</v>
      </c>
      <c r="E32" s="1164">
        <v>1224250000</v>
      </c>
      <c r="F32" s="1164">
        <v>0</v>
      </c>
      <c r="G32" s="1164">
        <v>0</v>
      </c>
      <c r="H32" s="1165">
        <f t="shared" si="2"/>
        <v>1224250000</v>
      </c>
      <c r="I32" s="1006"/>
      <c r="J32" s="1006"/>
      <c r="K32" s="1006"/>
      <c r="L32" s="1006"/>
    </row>
    <row r="33" spans="1:12">
      <c r="A33" s="1159">
        <f t="shared" si="3"/>
        <v>19</v>
      </c>
      <c r="B33" s="1085" t="s">
        <v>579</v>
      </c>
      <c r="C33" s="1164">
        <v>0</v>
      </c>
      <c r="D33" s="1164">
        <v>0</v>
      </c>
      <c r="E33" s="1164">
        <v>1224250000</v>
      </c>
      <c r="F33" s="1164">
        <v>0</v>
      </c>
      <c r="G33" s="1164">
        <v>0</v>
      </c>
      <c r="H33" s="1165">
        <f t="shared" si="2"/>
        <v>1224250000</v>
      </c>
      <c r="I33" s="1006"/>
      <c r="J33" s="1006"/>
      <c r="K33" s="1006"/>
      <c r="L33" s="1006"/>
    </row>
    <row r="34" spans="1:12">
      <c r="A34" s="1159">
        <f t="shared" si="3"/>
        <v>20</v>
      </c>
      <c r="B34" s="1085" t="s">
        <v>580</v>
      </c>
      <c r="C34" s="1164">
        <v>0</v>
      </c>
      <c r="D34" s="1164">
        <v>0</v>
      </c>
      <c r="E34" s="1164">
        <v>1224250000</v>
      </c>
      <c r="F34" s="1164">
        <v>0</v>
      </c>
      <c r="G34" s="1164">
        <v>0</v>
      </c>
      <c r="H34" s="1165">
        <f>+C34-D34+E34+F34-G34</f>
        <v>1224250000</v>
      </c>
      <c r="I34" s="1006"/>
      <c r="J34" s="1006"/>
      <c r="K34" s="1006"/>
      <c r="L34" s="1006"/>
    </row>
    <row r="35" spans="1:12">
      <c r="A35" s="1159">
        <f t="shared" si="3"/>
        <v>21</v>
      </c>
      <c r="B35" s="1085" t="s">
        <v>581</v>
      </c>
      <c r="C35" s="1164">
        <v>0</v>
      </c>
      <c r="D35" s="1164">
        <v>0</v>
      </c>
      <c r="E35" s="1164">
        <v>1394250000</v>
      </c>
      <c r="F35" s="1164">
        <v>0</v>
      </c>
      <c r="G35" s="1164">
        <v>0</v>
      </c>
      <c r="H35" s="1165">
        <f t="shared" si="2"/>
        <v>1394250000</v>
      </c>
      <c r="I35" s="1006"/>
      <c r="J35" s="1006"/>
      <c r="K35" s="1006"/>
      <c r="L35" s="1006"/>
    </row>
    <row r="36" spans="1:12">
      <c r="A36" s="1159">
        <f t="shared" si="3"/>
        <v>22</v>
      </c>
      <c r="B36" s="1085" t="s">
        <v>582</v>
      </c>
      <c r="C36" s="1164">
        <v>0</v>
      </c>
      <c r="D36" s="1164">
        <v>0</v>
      </c>
      <c r="E36" s="1164">
        <v>1394250000</v>
      </c>
      <c r="F36" s="1164">
        <v>0</v>
      </c>
      <c r="G36" s="1164">
        <v>0</v>
      </c>
      <c r="H36" s="1165">
        <f t="shared" si="2"/>
        <v>1394250000</v>
      </c>
      <c r="I36" s="1006"/>
      <c r="J36" s="1006"/>
      <c r="K36" s="1006"/>
      <c r="L36" s="1006"/>
    </row>
    <row r="37" spans="1:12">
      <c r="A37" s="1159">
        <f t="shared" si="3"/>
        <v>23</v>
      </c>
      <c r="B37" s="1085" t="s">
        <v>717</v>
      </c>
      <c r="C37" s="1164">
        <v>0</v>
      </c>
      <c r="D37" s="1164">
        <v>0</v>
      </c>
      <c r="E37" s="1164">
        <v>1394250000</v>
      </c>
      <c r="F37" s="1164">
        <v>0</v>
      </c>
      <c r="G37" s="1164">
        <v>0</v>
      </c>
      <c r="H37" s="1165">
        <f t="shared" si="2"/>
        <v>1394250000</v>
      </c>
      <c r="I37" s="1006"/>
      <c r="J37" s="1006"/>
      <c r="K37" s="1006"/>
      <c r="L37" s="1006"/>
    </row>
    <row r="38" spans="1:12">
      <c r="A38" s="1159">
        <f t="shared" si="3"/>
        <v>24</v>
      </c>
      <c r="B38" s="1085" t="s">
        <v>584</v>
      </c>
      <c r="C38" s="1164">
        <v>0</v>
      </c>
      <c r="D38" s="1164">
        <v>0</v>
      </c>
      <c r="E38" s="1164">
        <v>1394250000</v>
      </c>
      <c r="F38" s="1164">
        <v>0</v>
      </c>
      <c r="G38" s="1164">
        <v>0</v>
      </c>
      <c r="H38" s="1165">
        <f t="shared" si="2"/>
        <v>1394250000</v>
      </c>
      <c r="I38" s="1006"/>
      <c r="J38" s="1006"/>
      <c r="K38" s="1006"/>
      <c r="L38" s="1006"/>
    </row>
    <row r="39" spans="1:12">
      <c r="A39" s="1159">
        <f t="shared" si="3"/>
        <v>25</v>
      </c>
      <c r="B39" s="1085" t="s">
        <v>585</v>
      </c>
      <c r="C39" s="1164">
        <v>0</v>
      </c>
      <c r="D39" s="1164">
        <v>0</v>
      </c>
      <c r="E39" s="1164">
        <v>1373450000</v>
      </c>
      <c r="F39" s="1164">
        <v>0</v>
      </c>
      <c r="G39" s="1164">
        <v>0</v>
      </c>
      <c r="H39" s="1165">
        <f t="shared" si="2"/>
        <v>1373450000</v>
      </c>
      <c r="I39" s="1006"/>
      <c r="J39" s="1006"/>
      <c r="K39" s="1006"/>
      <c r="L39" s="1006"/>
    </row>
    <row r="40" spans="1:12">
      <c r="A40" s="1159">
        <f t="shared" si="3"/>
        <v>26</v>
      </c>
      <c r="B40" s="1085" t="s">
        <v>586</v>
      </c>
      <c r="C40" s="1164">
        <v>0</v>
      </c>
      <c r="D40" s="1164">
        <v>0</v>
      </c>
      <c r="E40" s="1164">
        <v>1373450000</v>
      </c>
      <c r="F40" s="1164">
        <v>0</v>
      </c>
      <c r="G40" s="1164">
        <v>0</v>
      </c>
      <c r="H40" s="1165">
        <f t="shared" si="2"/>
        <v>1373450000</v>
      </c>
      <c r="I40" s="1006"/>
      <c r="J40" s="1006"/>
      <c r="K40" s="1006"/>
      <c r="L40" s="1006"/>
    </row>
    <row r="41" spans="1:12">
      <c r="A41" s="1166">
        <f t="shared" si="3"/>
        <v>27</v>
      </c>
      <c r="B41" s="1087" t="s">
        <v>718</v>
      </c>
      <c r="C41" s="1164">
        <v>0</v>
      </c>
      <c r="D41" s="1164">
        <v>0</v>
      </c>
      <c r="E41" s="1164">
        <v>1373450000</v>
      </c>
      <c r="F41" s="1164">
        <v>0</v>
      </c>
      <c r="G41" s="1164">
        <v>0</v>
      </c>
      <c r="H41" s="1165">
        <f t="shared" si="2"/>
        <v>1373450000</v>
      </c>
      <c r="I41" s="1006"/>
      <c r="J41" s="1006"/>
      <c r="K41" s="1006"/>
      <c r="L41" s="1006"/>
    </row>
    <row r="42" spans="1:12" ht="13.5" thickBot="1">
      <c r="A42" s="1170">
        <f t="shared" si="3"/>
        <v>28</v>
      </c>
      <c r="B42" s="1096" t="s">
        <v>719</v>
      </c>
      <c r="C42" s="1110">
        <f t="shared" ref="C42:H42" si="4">SUM(C29:C41)/13</f>
        <v>0</v>
      </c>
      <c r="D42" s="1089">
        <f t="shared" si="4"/>
        <v>0</v>
      </c>
      <c r="E42" s="1089">
        <f t="shared" si="4"/>
        <v>1310988461.5384614</v>
      </c>
      <c r="F42" s="1089">
        <f t="shared" si="4"/>
        <v>0</v>
      </c>
      <c r="G42" s="1089">
        <f t="shared" si="4"/>
        <v>0</v>
      </c>
      <c r="H42" s="1167">
        <f t="shared" si="4"/>
        <v>1310988461.5384614</v>
      </c>
      <c r="I42" s="1006"/>
      <c r="J42" s="1006"/>
      <c r="K42" s="1006"/>
      <c r="L42" s="1006"/>
    </row>
    <row r="43" spans="1:12" ht="13.5" thickTop="1">
      <c r="A43" s="1150"/>
      <c r="B43" s="1171"/>
      <c r="C43" s="1172"/>
      <c r="D43" s="1173"/>
      <c r="E43" s="1173"/>
      <c r="F43" s="1173"/>
      <c r="G43" s="1172"/>
      <c r="H43" s="1172"/>
      <c r="I43" s="1006"/>
      <c r="J43" s="1006"/>
      <c r="K43" s="1006"/>
      <c r="L43" s="1006"/>
    </row>
    <row r="44" spans="1:12" ht="12.75" customHeight="1">
      <c r="A44" s="1174" t="s">
        <v>753</v>
      </c>
      <c r="F44" s="1175"/>
      <c r="G44" s="1175"/>
      <c r="H44" s="1175"/>
      <c r="I44" s="1006"/>
      <c r="J44" s="1006"/>
      <c r="K44" s="1006"/>
    </row>
    <row r="45" spans="1:12">
      <c r="E45" s="1175"/>
      <c r="F45" s="1175"/>
      <c r="G45" s="1175"/>
      <c r="H45" s="1175"/>
      <c r="J45" s="1171"/>
    </row>
    <row r="46" spans="1:12" ht="15">
      <c r="A46" s="1177" t="s">
        <v>342</v>
      </c>
      <c r="E46" s="1175"/>
      <c r="F46" s="1175"/>
      <c r="G46" s="1175"/>
      <c r="H46" s="1148"/>
    </row>
    <row r="47" spans="1:12" ht="15">
      <c r="A47" s="1177"/>
      <c r="B47" s="1178" t="s">
        <v>708</v>
      </c>
      <c r="C47" s="1178" t="s">
        <v>725</v>
      </c>
      <c r="D47" s="1179" t="s">
        <v>726</v>
      </c>
      <c r="E47" s="1178" t="s">
        <v>709</v>
      </c>
      <c r="F47" s="1179" t="s">
        <v>710</v>
      </c>
      <c r="G47" s="1178" t="s">
        <v>746</v>
      </c>
      <c r="H47" s="1178" t="s">
        <v>754</v>
      </c>
    </row>
    <row r="48" spans="1:12">
      <c r="A48" s="710">
        <f>+A42+1</f>
        <v>29</v>
      </c>
      <c r="B48" s="1180" t="str">
        <f>"Annual Interest Expense for "&amp;TCOS!L4</f>
        <v>Annual Interest Expense for 2022</v>
      </c>
      <c r="C48" s="1181"/>
      <c r="D48" s="1182"/>
      <c r="E48" s="1183"/>
      <c r="F48" s="1183"/>
      <c r="G48" s="1183"/>
      <c r="H48" s="1183"/>
      <c r="I48" s="1183"/>
      <c r="J48" s="1183"/>
      <c r="K48" s="1183"/>
      <c r="L48" s="1183"/>
    </row>
    <row r="49" spans="1:12">
      <c r="A49" s="710">
        <f>+A48+1</f>
        <v>30</v>
      </c>
      <c r="B49" s="1256" t="s">
        <v>773</v>
      </c>
      <c r="C49" s="1181"/>
      <c r="D49" s="1182"/>
      <c r="E49" s="1185">
        <v>49437703.329999998</v>
      </c>
      <c r="F49" s="1183"/>
      <c r="G49" s="1183"/>
      <c r="H49" s="1183"/>
      <c r="I49" s="1183"/>
      <c r="J49" s="1183"/>
      <c r="K49" s="1183"/>
      <c r="L49" s="1183"/>
    </row>
    <row r="50" spans="1:12" ht="28.5" customHeight="1">
      <c r="A50" s="710">
        <f t="shared" ref="A50:A55" si="5">+A49+1</f>
        <v>31</v>
      </c>
      <c r="B50" s="1573" t="str">
        <f>"Less: Total Hedge Gain/Expense Accumulated from p 256-257, col. (i) of FERC Form 1  included in Ln "&amp;A49&amp;" and shown in "&amp;A68&amp;" below."</f>
        <v>Less: Total Hedge Gain/Expense Accumulated from p 256-257, col. (i) of FERC Form 1  included in Ln 30 and shown in 43 below.</v>
      </c>
      <c r="C50" s="1574"/>
      <c r="D50" s="1182"/>
      <c r="E50" s="1181">
        <f>+C68</f>
        <v>0</v>
      </c>
      <c r="F50" s="1183"/>
      <c r="G50" s="1183"/>
      <c r="H50" s="1183"/>
      <c r="I50" s="1183"/>
      <c r="J50" s="1183"/>
      <c r="K50" s="1183"/>
      <c r="L50" s="1183"/>
    </row>
    <row r="51" spans="1:12">
      <c r="A51" s="710">
        <f t="shared" si="5"/>
        <v>32</v>
      </c>
      <c r="B51" s="1256" t="s">
        <v>774</v>
      </c>
      <c r="C51" s="1257"/>
      <c r="D51" s="1186"/>
      <c r="E51" s="1185">
        <v>740003.45000000007</v>
      </c>
      <c r="F51" s="1183"/>
      <c r="G51" s="1183"/>
      <c r="H51" s="1183"/>
      <c r="I51" s="1183"/>
      <c r="J51" s="1183"/>
    </row>
    <row r="52" spans="1:12">
      <c r="A52" s="710">
        <f t="shared" si="5"/>
        <v>33</v>
      </c>
      <c r="B52" s="1256" t="s">
        <v>775</v>
      </c>
      <c r="C52" s="1187"/>
      <c r="D52" s="1182"/>
      <c r="E52" s="1185"/>
      <c r="F52" s="1183"/>
      <c r="G52" s="1183"/>
      <c r="H52" s="1183"/>
      <c r="I52" s="1183"/>
      <c r="J52" s="1183"/>
    </row>
    <row r="53" spans="1:12">
      <c r="A53" s="710">
        <f t="shared" si="5"/>
        <v>34</v>
      </c>
      <c r="B53" s="1256" t="s">
        <v>776</v>
      </c>
      <c r="C53" s="1187"/>
      <c r="D53" s="1182"/>
      <c r="E53" s="1185">
        <v>30859.68</v>
      </c>
      <c r="F53" s="1183"/>
      <c r="G53" s="1183"/>
      <c r="H53" s="1183"/>
      <c r="I53" s="1183"/>
      <c r="J53" s="1183"/>
    </row>
    <row r="54" spans="1:12" ht="13.5" thickBot="1">
      <c r="A54" s="710">
        <f t="shared" si="5"/>
        <v>35</v>
      </c>
      <c r="B54" s="1256" t="s">
        <v>777</v>
      </c>
      <c r="C54" s="1187"/>
      <c r="D54" s="1182"/>
      <c r="E54" s="1188"/>
      <c r="F54" s="1183"/>
      <c r="G54" s="1183"/>
      <c r="H54" s="1183"/>
      <c r="I54" s="1183"/>
      <c r="J54" s="1183"/>
    </row>
    <row r="55" spans="1:12">
      <c r="A55" s="710">
        <f t="shared" si="5"/>
        <v>36</v>
      </c>
      <c r="B55" s="1180" t="str">
        <f>"Total Interest Expense (Ln "&amp;A49&amp;" - "&amp;A50&amp;" + "&amp;A51&amp;" + "&amp;A52&amp;" - "&amp;A53&amp;" - "&amp;A54&amp;")"</f>
        <v>Total Interest Expense (Ln 30 - 31 + 32 + 33 - 34 - 35)</v>
      </c>
      <c r="C55" s="1189"/>
      <c r="D55" s="1190"/>
      <c r="E55" s="1191">
        <f>+E49-E50+E51+E52-E53-E54</f>
        <v>50146847.100000001</v>
      </c>
      <c r="F55" s="1183"/>
      <c r="G55" s="1183"/>
      <c r="H55" s="1183"/>
      <c r="I55" s="1183"/>
      <c r="J55" s="1183"/>
    </row>
    <row r="56" spans="1:12" ht="13.5" thickBot="1">
      <c r="A56" s="710"/>
      <c r="B56" s="1184"/>
      <c r="C56" s="1187"/>
      <c r="D56" s="1182"/>
      <c r="E56" s="1192"/>
      <c r="F56" s="1183"/>
      <c r="G56" s="1183"/>
      <c r="H56" s="1183"/>
      <c r="I56" s="1183"/>
      <c r="J56" s="1183"/>
    </row>
    <row r="57" spans="1:12" ht="13.5" thickBot="1">
      <c r="A57" s="710">
        <f>+A55+1</f>
        <v>37</v>
      </c>
      <c r="B57" s="1180" t="str">
        <f>"Average Cost of Debt for "&amp;TCOS!L4&amp;" (Ln "&amp;A55&amp;"/ ln "&amp;A42&amp;" (g))"</f>
        <v>Average Cost of Debt for 2022 (Ln 36/ ln 28 (g))</v>
      </c>
      <c r="C57" s="1189"/>
      <c r="D57" s="1182"/>
      <c r="E57" s="1193">
        <f>+E55/H42</f>
        <v>3.8251173500910944E-2</v>
      </c>
      <c r="F57" s="1183"/>
      <c r="G57" s="1183"/>
      <c r="H57" s="1183"/>
      <c r="I57" s="1183"/>
      <c r="J57" s="1183"/>
    </row>
    <row r="58" spans="1:12">
      <c r="A58" s="1194"/>
      <c r="B58" s="1184"/>
      <c r="C58" s="1187"/>
      <c r="D58" s="1182"/>
      <c r="E58" s="1187"/>
      <c r="F58" s="1183"/>
      <c r="G58" s="1183"/>
      <c r="H58" s="1183"/>
      <c r="I58" s="1183"/>
      <c r="J58" s="1183"/>
    </row>
    <row r="59" spans="1:12" ht="16.5" customHeight="1">
      <c r="A59" s="1195"/>
      <c r="B59" s="1575" t="s">
        <v>755</v>
      </c>
      <c r="C59" s="1575"/>
      <c r="D59" s="1575"/>
      <c r="E59" s="1575"/>
      <c r="F59" s="1196"/>
      <c r="G59" s="1183"/>
      <c r="H59" s="1183"/>
      <c r="I59" s="1183"/>
      <c r="J59" s="1183"/>
    </row>
    <row r="60" spans="1:12" ht="21" customHeight="1">
      <c r="A60" s="1197">
        <f>+A57+1</f>
        <v>38</v>
      </c>
      <c r="B60" s="1576" t="str">
        <f>""&amp;A4&amp;" may not include costs (or gains) related to interest hedging activities."</f>
        <v>AEP Indiana Michigan Transmission Company may not include costs (or gains) related to interest hedging activities.</v>
      </c>
      <c r="C60" s="1576"/>
      <c r="D60" s="1576"/>
      <c r="E60" s="1576"/>
      <c r="F60" s="1576"/>
      <c r="G60" s="1198"/>
      <c r="H60" s="1198"/>
      <c r="I60" s="1183"/>
      <c r="J60" s="1183"/>
    </row>
    <row r="61" spans="1:12">
      <c r="A61" s="1199"/>
      <c r="B61" s="1200"/>
      <c r="C61" s="1200"/>
      <c r="D61" s="1200"/>
      <c r="E61" s="1577" t="s">
        <v>229</v>
      </c>
      <c r="F61" s="1577"/>
      <c r="G61" s="1006"/>
      <c r="H61" s="1006"/>
      <c r="I61" s="1183"/>
      <c r="J61" s="1183"/>
    </row>
    <row r="62" spans="1:12" ht="38.25">
      <c r="A62" s="710"/>
      <c r="B62" s="1202" t="s">
        <v>230</v>
      </c>
      <c r="C62" s="1202" t="str">
        <f>"(Amortization of (Gain)/Loss for "&amp;TCOS!L4</f>
        <v>(Amortization of (Gain)/Loss for 2022</v>
      </c>
      <c r="D62" s="1201" t="s">
        <v>231</v>
      </c>
      <c r="E62" s="1201" t="s">
        <v>88</v>
      </c>
      <c r="F62" s="1201" t="s">
        <v>90</v>
      </c>
      <c r="G62" s="1006"/>
      <c r="H62" s="1006"/>
      <c r="I62" s="1183"/>
      <c r="J62" s="1183"/>
    </row>
    <row r="63" spans="1:12">
      <c r="A63" s="710">
        <f>+A60+1</f>
        <v>39</v>
      </c>
      <c r="B63" s="1203"/>
      <c r="C63" s="1169"/>
      <c r="D63" s="1203"/>
      <c r="E63" s="1203"/>
      <c r="F63" s="1204"/>
      <c r="G63" s="1006"/>
      <c r="H63" s="1006"/>
      <c r="I63" s="1186"/>
      <c r="J63" s="1186"/>
    </row>
    <row r="64" spans="1:12">
      <c r="A64" s="710">
        <f>+A63+1</f>
        <v>40</v>
      </c>
      <c r="B64" s="1203"/>
      <c r="C64" s="1169"/>
      <c r="D64" s="1203"/>
      <c r="E64" s="1203"/>
      <c r="F64" s="1204"/>
      <c r="G64" s="1205"/>
      <c r="H64" s="1205"/>
      <c r="I64" s="1183"/>
      <c r="J64" s="1183"/>
    </row>
    <row r="65" spans="1:10">
      <c r="A65" s="710">
        <f>+A64+1</f>
        <v>41</v>
      </c>
      <c r="B65" s="1203"/>
      <c r="C65" s="1169"/>
      <c r="D65" s="1206"/>
      <c r="E65" s="1206"/>
      <c r="F65" s="1204"/>
      <c r="G65" s="1205"/>
      <c r="H65" s="1205"/>
      <c r="I65" s="1183"/>
      <c r="J65" s="1183"/>
    </row>
    <row r="66" spans="1:10">
      <c r="A66" s="710">
        <f>+A65+1</f>
        <v>42</v>
      </c>
      <c r="B66" s="1203"/>
      <c r="C66" s="1169"/>
      <c r="D66" s="1206"/>
      <c r="E66" s="1206"/>
      <c r="F66" s="1207"/>
      <c r="G66" s="1208"/>
      <c r="H66" s="1209"/>
      <c r="I66" s="1183"/>
      <c r="J66" s="1183"/>
    </row>
    <row r="67" spans="1:10">
      <c r="A67" s="710"/>
      <c r="B67" s="1210"/>
      <c r="C67" s="1211"/>
      <c r="D67" s="1211"/>
      <c r="E67" s="1212"/>
      <c r="F67" s="1183"/>
      <c r="G67" s="1213"/>
      <c r="H67" s="1213"/>
    </row>
    <row r="68" spans="1:10">
      <c r="A68" s="710">
        <f>+A66+1</f>
        <v>43</v>
      </c>
      <c r="B68" s="1214" t="s">
        <v>255</v>
      </c>
      <c r="C68" s="1192">
        <f>SUM(C63:C67)</f>
        <v>0</v>
      </c>
      <c r="D68" s="1192">
        <f>SUM(D63:D67)</f>
        <v>0</v>
      </c>
      <c r="E68" s="1192">
        <f>SUM(E63:E67)</f>
        <v>0</v>
      </c>
      <c r="F68" s="1215">
        <f>SUM(F63:F67)</f>
        <v>0</v>
      </c>
      <c r="G68" s="1183"/>
      <c r="H68" s="1183"/>
    </row>
    <row r="69" spans="1:10">
      <c r="A69" s="710"/>
      <c r="B69" s="1184"/>
      <c r="C69" s="1192"/>
      <c r="D69" s="1192"/>
      <c r="E69" s="1192"/>
      <c r="F69" s="1183"/>
      <c r="G69" s="1183"/>
      <c r="H69" s="1183"/>
    </row>
    <row r="70" spans="1:10">
      <c r="A70" s="710"/>
      <c r="B70" s="1180"/>
      <c r="C70" s="1187"/>
      <c r="D70" s="1182"/>
      <c r="E70" s="1216"/>
      <c r="F70" s="1183"/>
      <c r="G70" s="1183"/>
      <c r="H70" s="1183"/>
    </row>
    <row r="71" spans="1:10">
      <c r="A71" s="710"/>
      <c r="B71" s="1180"/>
      <c r="C71" s="1187"/>
      <c r="D71" s="1182"/>
      <c r="E71" s="1216"/>
      <c r="F71" s="1183"/>
      <c r="G71" s="1183"/>
      <c r="H71" s="1183"/>
    </row>
    <row r="72" spans="1:10" ht="15">
      <c r="A72" s="1217" t="s">
        <v>347</v>
      </c>
      <c r="B72" s="1180"/>
      <c r="C72" s="1187"/>
      <c r="D72" s="1182"/>
      <c r="E72" s="1216"/>
      <c r="F72" s="1183"/>
      <c r="G72" s="1183"/>
      <c r="H72" s="1183"/>
    </row>
    <row r="73" spans="1:10">
      <c r="A73" s="710"/>
      <c r="B73" s="1180"/>
      <c r="C73" s="1187"/>
      <c r="D73" s="1182"/>
      <c r="E73" s="1216"/>
      <c r="F73" s="1183"/>
      <c r="G73" s="1183"/>
      <c r="H73" s="1183"/>
    </row>
    <row r="74" spans="1:10">
      <c r="A74" s="1218">
        <f>+A68+1</f>
        <v>44</v>
      </c>
      <c r="B74" s="1182" t="str">
        <f>"Balance of Preferred Stock (Line "&amp;A23&amp;" (c))"</f>
        <v>Balance of Preferred Stock (Line 14 (c))</v>
      </c>
      <c r="E74" s="1219">
        <f>+D23</f>
        <v>0</v>
      </c>
    </row>
    <row r="75" spans="1:10">
      <c r="A75" s="710">
        <f>+A74+1</f>
        <v>45</v>
      </c>
      <c r="B75" s="1182" t="s">
        <v>756</v>
      </c>
      <c r="E75" s="1207"/>
    </row>
    <row r="76" spans="1:10">
      <c r="A76" s="710">
        <f>+A75+1</f>
        <v>46</v>
      </c>
      <c r="B76" s="1220" t="str">
        <f>"Average Cost of Preferred Stock (Ln "&amp;A75&amp;" / ln "&amp;A74&amp;")"</f>
        <v>Average Cost of Preferred Stock (Ln 45 / ln 44)</v>
      </c>
      <c r="E76" s="1221"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topLeftCell="A31" zoomScale="90" zoomScaleNormal="90" zoomScaleSheetLayoutView="70" workbookViewId="0">
      <selection activeCell="E61" sqref="E61"/>
    </sheetView>
  </sheetViews>
  <sheetFormatPr defaultColWidth="11.42578125" defaultRowHeight="12.75"/>
  <cols>
    <col min="1" max="1" width="10.28515625" style="1112" customWidth="1"/>
    <col min="2" max="2" width="57.42578125" style="1065" customWidth="1"/>
    <col min="3" max="3" width="26.7109375" style="1065" bestFit="1" customWidth="1"/>
    <col min="4" max="4" width="25" style="1065" customWidth="1"/>
    <col min="5" max="11" width="20.28515625" style="1065" customWidth="1"/>
    <col min="12" max="12" width="20" style="1065" customWidth="1"/>
    <col min="13" max="14" width="15.140625" style="1065" customWidth="1"/>
    <col min="15" max="16384" width="11.42578125" style="1065"/>
  </cols>
  <sheetData>
    <row r="1" spans="1:12" ht="15">
      <c r="A1" s="1497" t="str">
        <f>TCOS!F5</f>
        <v>AEPTCo subsidiaries in PJM</v>
      </c>
      <c r="B1" s="1497" t="s">
        <v>331</v>
      </c>
      <c r="C1" s="1497" t="s">
        <v>331</v>
      </c>
      <c r="D1" s="1497" t="s">
        <v>331</v>
      </c>
      <c r="E1" s="1497" t="s">
        <v>331</v>
      </c>
      <c r="F1" s="1497" t="s">
        <v>331</v>
      </c>
      <c r="G1" s="1497" t="s">
        <v>331</v>
      </c>
      <c r="H1" s="1064"/>
      <c r="I1" s="1064"/>
    </row>
    <row r="2" spans="1:12" ht="15">
      <c r="A2" s="1498" t="str">
        <f>"Cost of Service Formula Rate Using Actual/Projected FF1 Balances"</f>
        <v>Cost of Service Formula Rate Using Actual/Projected FF1 Balances</v>
      </c>
      <c r="B2" s="1498"/>
      <c r="C2" s="1498"/>
      <c r="D2" s="1498"/>
      <c r="E2" s="1498"/>
      <c r="F2" s="1498"/>
      <c r="G2" s="1498"/>
      <c r="H2" s="1064"/>
      <c r="I2" s="1064"/>
      <c r="J2" s="1064"/>
      <c r="L2" s="1066"/>
    </row>
    <row r="3" spans="1:12" ht="15">
      <c r="A3" s="1498" t="s">
        <v>701</v>
      </c>
      <c r="B3" s="1498"/>
      <c r="C3" s="1498"/>
      <c r="D3" s="1498"/>
      <c r="E3" s="1498"/>
      <c r="F3" s="1498"/>
      <c r="G3" s="1498"/>
      <c r="H3" s="1064"/>
      <c r="I3" s="1064"/>
      <c r="J3" s="1064"/>
    </row>
    <row r="4" spans="1:12" ht="15">
      <c r="A4" s="1504" t="str">
        <f>TCOS!F9</f>
        <v>AEP Indiana Michigan Transmission Company</v>
      </c>
      <c r="B4" s="1504"/>
      <c r="C4" s="1504"/>
      <c r="D4" s="1504"/>
      <c r="E4" s="1504"/>
      <c r="F4" s="1504"/>
      <c r="G4" s="1504"/>
      <c r="H4" s="1064"/>
      <c r="I4" s="1064"/>
      <c r="J4" s="1064"/>
    </row>
    <row r="5" spans="1:12">
      <c r="A5" s="1064"/>
      <c r="B5" s="1067"/>
      <c r="C5" s="1067"/>
      <c r="D5" s="1067"/>
      <c r="E5" s="1068"/>
      <c r="F5" s="1069"/>
      <c r="H5" s="1069"/>
      <c r="J5" s="1069"/>
      <c r="L5" s="1069"/>
    </row>
    <row r="6" spans="1:12" ht="12.75" customHeight="1">
      <c r="A6" s="1064"/>
      <c r="B6" s="1067"/>
      <c r="C6" s="1499" t="s">
        <v>702</v>
      </c>
      <c r="D6" s="1500"/>
      <c r="E6" s="1500"/>
      <c r="F6" s="1500"/>
      <c r="G6" s="1501"/>
      <c r="H6" s="1070"/>
      <c r="I6" s="1070"/>
      <c r="J6" s="1070"/>
      <c r="K6" s="1070"/>
      <c r="L6" s="4"/>
    </row>
    <row r="7" spans="1:12" s="1075" customFormat="1" ht="25.5">
      <c r="A7" s="1071" t="s">
        <v>703</v>
      </c>
      <c r="B7" s="1072" t="s">
        <v>704</v>
      </c>
      <c r="C7" s="1073" t="s">
        <v>417</v>
      </c>
      <c r="D7" s="1073" t="s">
        <v>705</v>
      </c>
      <c r="E7" s="1073" t="s">
        <v>138</v>
      </c>
      <c r="F7" s="1073" t="s">
        <v>706</v>
      </c>
      <c r="G7" s="1072" t="s">
        <v>707</v>
      </c>
      <c r="H7" s="7"/>
      <c r="I7" s="1074"/>
      <c r="J7" s="1074"/>
      <c r="K7" s="1074"/>
      <c r="L7" s="4"/>
    </row>
    <row r="8" spans="1:12" s="1080" customFormat="1">
      <c r="A8" s="1076"/>
      <c r="B8" s="1077" t="s">
        <v>708</v>
      </c>
      <c r="C8" s="1078" t="s">
        <v>709</v>
      </c>
      <c r="D8" s="1078" t="s">
        <v>710</v>
      </c>
      <c r="E8" s="1078" t="s">
        <v>711</v>
      </c>
      <c r="F8" s="1078" t="s">
        <v>712</v>
      </c>
      <c r="G8" s="1079" t="s">
        <v>713</v>
      </c>
      <c r="H8"/>
      <c r="L8" s="4"/>
    </row>
    <row r="9" spans="1:12" s="1080" customFormat="1" ht="44.25" customHeight="1">
      <c r="A9" s="1076"/>
      <c r="B9" s="1077" t="s">
        <v>714</v>
      </c>
      <c r="C9" s="1081" t="s">
        <v>233</v>
      </c>
      <c r="D9" s="1081" t="s">
        <v>234</v>
      </c>
      <c r="E9" s="1081" t="s">
        <v>235</v>
      </c>
      <c r="F9" s="1081" t="s">
        <v>236</v>
      </c>
      <c r="G9" s="1082" t="s">
        <v>237</v>
      </c>
      <c r="H9"/>
      <c r="L9" s="4"/>
    </row>
    <row r="10" spans="1:12">
      <c r="A10" s="1076">
        <v>1</v>
      </c>
      <c r="B10" s="1083" t="s">
        <v>715</v>
      </c>
      <c r="C10" s="1164">
        <v>3055969084.7800002</v>
      </c>
      <c r="D10" s="1164">
        <v>0</v>
      </c>
      <c r="E10" s="1164">
        <v>56114145.650000006</v>
      </c>
      <c r="F10" s="1164">
        <v>0</v>
      </c>
      <c r="G10" s="1164">
        <v>31110413.030000001</v>
      </c>
      <c r="H10"/>
      <c r="L10" s="4"/>
    </row>
    <row r="11" spans="1:12">
      <c r="A11" s="1076">
        <f>+A10+1</f>
        <v>2</v>
      </c>
      <c r="B11" s="1083" t="s">
        <v>576</v>
      </c>
      <c r="C11" s="1164">
        <v>3059884970.46</v>
      </c>
      <c r="D11" s="1164">
        <v>0</v>
      </c>
      <c r="E11" s="1164">
        <v>57478202.920000009</v>
      </c>
      <c r="F11" s="1164">
        <v>0</v>
      </c>
      <c r="G11" s="1164">
        <v>31537787.84</v>
      </c>
      <c r="H11"/>
      <c r="L11" s="4"/>
    </row>
    <row r="12" spans="1:12">
      <c r="A12" s="1076">
        <f t="shared" ref="A12:A23" si="0">+A11+1</f>
        <v>3</v>
      </c>
      <c r="B12" s="1085" t="s">
        <v>577</v>
      </c>
      <c r="C12" s="1164">
        <v>3069735689.4799991</v>
      </c>
      <c r="D12" s="1164">
        <v>0</v>
      </c>
      <c r="E12" s="1164">
        <v>57479902.330000006</v>
      </c>
      <c r="F12" s="1164">
        <v>0</v>
      </c>
      <c r="G12" s="1164">
        <v>31701855.809999999</v>
      </c>
      <c r="H12"/>
      <c r="L12" s="4"/>
    </row>
    <row r="13" spans="1:12">
      <c r="A13" s="1076">
        <f t="shared" si="0"/>
        <v>4</v>
      </c>
      <c r="B13" s="1085" t="s">
        <v>716</v>
      </c>
      <c r="C13" s="1164">
        <v>3075589386.059999</v>
      </c>
      <c r="D13" s="1164">
        <v>0</v>
      </c>
      <c r="E13" s="1164">
        <v>57516023.289999999</v>
      </c>
      <c r="F13" s="1164">
        <v>0</v>
      </c>
      <c r="G13" s="1164">
        <v>31567187.419999998</v>
      </c>
      <c r="H13"/>
      <c r="L13" s="4"/>
    </row>
    <row r="14" spans="1:12">
      <c r="A14" s="1076">
        <f t="shared" si="0"/>
        <v>5</v>
      </c>
      <c r="B14" s="1085" t="s">
        <v>579</v>
      </c>
      <c r="C14" s="1164">
        <v>3101590631.3400002</v>
      </c>
      <c r="D14" s="1164">
        <v>0</v>
      </c>
      <c r="E14" s="1164">
        <v>57598510.340000004</v>
      </c>
      <c r="F14" s="1164">
        <v>0</v>
      </c>
      <c r="G14" s="1164">
        <v>31940263.889999997</v>
      </c>
      <c r="H14"/>
      <c r="L14" s="4"/>
    </row>
    <row r="15" spans="1:12">
      <c r="A15" s="1076">
        <f t="shared" si="0"/>
        <v>6</v>
      </c>
      <c r="B15" s="1085" t="s">
        <v>580</v>
      </c>
      <c r="C15" s="1164">
        <v>3117245247.0500007</v>
      </c>
      <c r="D15" s="1164">
        <v>0</v>
      </c>
      <c r="E15" s="1164">
        <v>57693332.579999998</v>
      </c>
      <c r="F15" s="1164">
        <v>0</v>
      </c>
      <c r="G15" s="1164">
        <v>32194863.359999999</v>
      </c>
      <c r="H15"/>
      <c r="L15" s="4"/>
    </row>
    <row r="16" spans="1:12">
      <c r="A16" s="1076">
        <f t="shared" si="0"/>
        <v>7</v>
      </c>
      <c r="B16" s="1085" t="s">
        <v>581</v>
      </c>
      <c r="C16" s="1164">
        <v>3118971674.8300004</v>
      </c>
      <c r="D16" s="1164">
        <v>0</v>
      </c>
      <c r="E16" s="1164">
        <v>57959487.20000001</v>
      </c>
      <c r="F16" s="1164">
        <v>0</v>
      </c>
      <c r="G16" s="1164">
        <v>31569292.490000006</v>
      </c>
      <c r="H16"/>
      <c r="L16" s="4"/>
    </row>
    <row r="17" spans="1:12">
      <c r="A17" s="1076">
        <f t="shared" si="0"/>
        <v>8</v>
      </c>
      <c r="B17" s="1085" t="s">
        <v>582</v>
      </c>
      <c r="C17" s="1164">
        <v>3138684471.8300004</v>
      </c>
      <c r="D17" s="1164">
        <v>0</v>
      </c>
      <c r="E17" s="1164">
        <v>57984868.420000009</v>
      </c>
      <c r="F17" s="1164">
        <v>0</v>
      </c>
      <c r="G17" s="1164">
        <v>32548002.32</v>
      </c>
      <c r="H17"/>
      <c r="L17" s="4"/>
    </row>
    <row r="18" spans="1:12">
      <c r="A18" s="1076">
        <f t="shared" si="0"/>
        <v>9</v>
      </c>
      <c r="B18" s="1085" t="s">
        <v>717</v>
      </c>
      <c r="C18" s="1164">
        <v>3183740485.8400002</v>
      </c>
      <c r="D18" s="1164">
        <v>0</v>
      </c>
      <c r="E18" s="1164">
        <v>58011701.810000002</v>
      </c>
      <c r="F18" s="1164">
        <v>0</v>
      </c>
      <c r="G18" s="1164">
        <v>32913248.450000003</v>
      </c>
      <c r="H18"/>
      <c r="L18" s="4"/>
    </row>
    <row r="19" spans="1:12">
      <c r="A19" s="1076">
        <f t="shared" si="0"/>
        <v>10</v>
      </c>
      <c r="B19" s="1085" t="s">
        <v>584</v>
      </c>
      <c r="C19" s="1164">
        <v>3205334172.5599995</v>
      </c>
      <c r="D19" s="1164">
        <v>0</v>
      </c>
      <c r="E19" s="1164">
        <v>58127527.600000001</v>
      </c>
      <c r="F19" s="1164">
        <v>0</v>
      </c>
      <c r="G19" s="1164">
        <v>33103227</v>
      </c>
      <c r="H19"/>
      <c r="L19" s="4"/>
    </row>
    <row r="20" spans="1:12">
      <c r="A20" s="1076">
        <f t="shared" si="0"/>
        <v>11</v>
      </c>
      <c r="B20" s="1085" t="s">
        <v>585</v>
      </c>
      <c r="C20" s="1164">
        <v>3218857071.9999995</v>
      </c>
      <c r="D20" s="1164">
        <v>0</v>
      </c>
      <c r="E20" s="1164">
        <v>58147172.339999996</v>
      </c>
      <c r="F20" s="1164">
        <v>0</v>
      </c>
      <c r="G20" s="1164">
        <v>33545103.259999998</v>
      </c>
      <c r="H20"/>
      <c r="L20" s="4"/>
    </row>
    <row r="21" spans="1:12">
      <c r="A21" s="1076">
        <f t="shared" si="0"/>
        <v>12</v>
      </c>
      <c r="B21" s="1085" t="s">
        <v>586</v>
      </c>
      <c r="C21" s="1164">
        <v>3252300574.3999996</v>
      </c>
      <c r="D21" s="1164">
        <v>0</v>
      </c>
      <c r="E21" s="1164">
        <v>58214812.25</v>
      </c>
      <c r="F21" s="1164">
        <v>0</v>
      </c>
      <c r="G21" s="1164">
        <v>34582134.410000004</v>
      </c>
      <c r="H21"/>
      <c r="L21" s="4"/>
    </row>
    <row r="22" spans="1:12">
      <c r="A22" s="1086">
        <f t="shared" si="0"/>
        <v>13</v>
      </c>
      <c r="B22" s="1087" t="s">
        <v>718</v>
      </c>
      <c r="C22" s="1164">
        <v>3345599238.0600009</v>
      </c>
      <c r="D22" s="1164">
        <v>0</v>
      </c>
      <c r="E22" s="1164">
        <v>58460769.670000002</v>
      </c>
      <c r="F22" s="1164">
        <v>0</v>
      </c>
      <c r="G22" s="1164">
        <v>35290185.440000005</v>
      </c>
      <c r="H22"/>
      <c r="L22" s="4"/>
    </row>
    <row r="23" spans="1:12" ht="13.5" thickBot="1">
      <c r="A23" s="1086">
        <f t="shared" si="0"/>
        <v>14</v>
      </c>
      <c r="B23" s="1088" t="s">
        <v>719</v>
      </c>
      <c r="C23" s="1089">
        <f>SUM(C10:C22)/13</f>
        <v>3149500207.5915384</v>
      </c>
      <c r="D23" s="1089">
        <f>SUM(D10:D22)/13</f>
        <v>0</v>
      </c>
      <c r="E23" s="1089">
        <f>SUM(E10:E22)/13</f>
        <v>57752804.338461533</v>
      </c>
      <c r="F23" s="1089">
        <f>SUM(F10:F22)/13</f>
        <v>0</v>
      </c>
      <c r="G23" s="1090">
        <f>SUM(G10:G22)/13</f>
        <v>32584889.593846157</v>
      </c>
      <c r="H23"/>
      <c r="L23" s="4"/>
    </row>
    <row r="24" spans="1:12" ht="13.5" thickTop="1">
      <c r="A24" s="1064"/>
      <c r="B24" s="1091"/>
      <c r="C24" s="1092"/>
      <c r="D24" s="1093"/>
      <c r="E24" s="1093"/>
      <c r="F24" s="1093"/>
      <c r="G24" s="1092"/>
      <c r="H24" s="1092"/>
      <c r="I24" s="1092"/>
      <c r="J24" s="4"/>
      <c r="K24" s="4"/>
      <c r="L24" s="4"/>
    </row>
    <row r="25" spans="1:12" ht="12.75" customHeight="1">
      <c r="A25" s="1064"/>
      <c r="B25" s="1067"/>
      <c r="C25" s="1502" t="s">
        <v>720</v>
      </c>
      <c r="D25" s="1503"/>
      <c r="E25" s="1503"/>
      <c r="F25" s="1503"/>
      <c r="G25" s="1503"/>
      <c r="H25"/>
      <c r="I25"/>
      <c r="J25"/>
      <c r="K25"/>
      <c r="L25" s="4"/>
    </row>
    <row r="26" spans="1:12" s="1075" customFormat="1" ht="25.5">
      <c r="A26" s="1071" t="s">
        <v>703</v>
      </c>
      <c r="B26" s="1072" t="s">
        <v>704</v>
      </c>
      <c r="C26" s="1073" t="s">
        <v>417</v>
      </c>
      <c r="D26" s="1073" t="s">
        <v>705</v>
      </c>
      <c r="E26" s="1073" t="s">
        <v>138</v>
      </c>
      <c r="F26" s="1073" t="s">
        <v>706</v>
      </c>
      <c r="G26" s="1094" t="s">
        <v>707</v>
      </c>
      <c r="H26"/>
      <c r="I26"/>
      <c r="J26"/>
      <c r="K26"/>
      <c r="L26" s="4"/>
    </row>
    <row r="27" spans="1:12" s="1080" customFormat="1">
      <c r="A27" s="1076"/>
      <c r="B27" s="1077" t="s">
        <v>708</v>
      </c>
      <c r="C27" s="1078" t="s">
        <v>709</v>
      </c>
      <c r="D27" s="1078" t="s">
        <v>710</v>
      </c>
      <c r="E27" s="1078" t="s">
        <v>711</v>
      </c>
      <c r="F27" s="1078" t="s">
        <v>712</v>
      </c>
      <c r="G27" s="1079" t="s">
        <v>713</v>
      </c>
      <c r="H27"/>
      <c r="I27"/>
      <c r="J27"/>
      <c r="K27"/>
      <c r="L27" s="4"/>
    </row>
    <row r="28" spans="1:12" s="1080" customFormat="1" ht="44.25" customHeight="1">
      <c r="A28" s="1076"/>
      <c r="B28" s="1077" t="s">
        <v>714</v>
      </c>
      <c r="C28" s="1081" t="s">
        <v>182</v>
      </c>
      <c r="D28" s="1081" t="str">
        <f>"Company Records (Included in total in Column "&amp;C27&amp;")"</f>
        <v>Company Records (Included in total in Column (d))</v>
      </c>
      <c r="E28" s="1081" t="s">
        <v>10</v>
      </c>
      <c r="F28" s="1081" t="str">
        <f>"Company Records (Included in total in Column "&amp;E27&amp;")"</f>
        <v>Company Records (Included in total in Column (h))</v>
      </c>
      <c r="G28" s="1082" t="s">
        <v>304</v>
      </c>
      <c r="H28"/>
      <c r="I28"/>
      <c r="J28"/>
      <c r="K28"/>
      <c r="L28" s="4"/>
    </row>
    <row r="29" spans="1:12">
      <c r="A29" s="1076">
        <f>+A23+1</f>
        <v>15</v>
      </c>
      <c r="B29" s="1083" t="s">
        <v>715</v>
      </c>
      <c r="C29" s="1164">
        <v>232988606.88999999</v>
      </c>
      <c r="D29" s="1164">
        <v>0</v>
      </c>
      <c r="E29" s="1164">
        <v>2484273.2200000002</v>
      </c>
      <c r="F29" s="1164">
        <v>0</v>
      </c>
      <c r="G29" s="1164">
        <v>11700536.049999999</v>
      </c>
      <c r="H29"/>
      <c r="I29"/>
      <c r="J29"/>
      <c r="K29"/>
      <c r="L29" s="4"/>
    </row>
    <row r="30" spans="1:12">
      <c r="A30" s="1076">
        <f>+A29+1</f>
        <v>16</v>
      </c>
      <c r="B30" s="1083" t="s">
        <v>576</v>
      </c>
      <c r="C30" s="1164">
        <v>239558428.13999999</v>
      </c>
      <c r="D30" s="1164">
        <v>0</v>
      </c>
      <c r="E30" s="1164">
        <v>2586731.5700000003</v>
      </c>
      <c r="F30" s="1164">
        <v>0</v>
      </c>
      <c r="G30" s="1164">
        <v>12168854.77</v>
      </c>
      <c r="H30"/>
      <c r="I30"/>
      <c r="J30"/>
      <c r="K30"/>
      <c r="L30" s="4"/>
    </row>
    <row r="31" spans="1:12">
      <c r="A31" s="1076">
        <f t="shared" ref="A31:A42" si="1">+A30+1</f>
        <v>17</v>
      </c>
      <c r="B31" s="1085" t="s">
        <v>577</v>
      </c>
      <c r="C31" s="1164">
        <v>246168007.57999998</v>
      </c>
      <c r="D31" s="1164">
        <v>0</v>
      </c>
      <c r="E31" s="1164">
        <v>2691569.6100000003</v>
      </c>
      <c r="F31" s="1164">
        <v>0</v>
      </c>
      <c r="G31" s="1164">
        <v>12644296.4</v>
      </c>
      <c r="H31"/>
      <c r="I31"/>
      <c r="J31"/>
      <c r="K31"/>
      <c r="L31" s="4"/>
    </row>
    <row r="32" spans="1:12">
      <c r="A32" s="1076">
        <f t="shared" si="1"/>
        <v>18</v>
      </c>
      <c r="B32" s="1085" t="s">
        <v>716</v>
      </c>
      <c r="C32" s="1164">
        <v>253127085.59999999</v>
      </c>
      <c r="D32" s="1164">
        <v>0</v>
      </c>
      <c r="E32" s="1164">
        <v>2822907.9299999997</v>
      </c>
      <c r="F32" s="1164">
        <v>0</v>
      </c>
      <c r="G32" s="1164">
        <v>12563141.840000002</v>
      </c>
      <c r="H32"/>
      <c r="I32"/>
      <c r="J32"/>
      <c r="K32"/>
      <c r="L32" s="4"/>
    </row>
    <row r="33" spans="1:12">
      <c r="A33" s="1076">
        <f t="shared" si="1"/>
        <v>19</v>
      </c>
      <c r="B33" s="1085" t="s">
        <v>579</v>
      </c>
      <c r="C33" s="1164">
        <v>260014302.57999998</v>
      </c>
      <c r="D33" s="1164">
        <v>0</v>
      </c>
      <c r="E33" s="1164">
        <v>2949587.6900000004</v>
      </c>
      <c r="F33" s="1164">
        <v>0</v>
      </c>
      <c r="G33" s="1164">
        <v>13039073.470000001</v>
      </c>
      <c r="H33"/>
      <c r="I33"/>
      <c r="J33"/>
      <c r="K33"/>
      <c r="L33" s="4"/>
    </row>
    <row r="34" spans="1:12">
      <c r="A34" s="1076">
        <f t="shared" si="1"/>
        <v>20</v>
      </c>
      <c r="B34" s="1085" t="s">
        <v>580</v>
      </c>
      <c r="C34" s="1164">
        <v>267061951.15999997</v>
      </c>
      <c r="D34" s="1164">
        <v>0</v>
      </c>
      <c r="E34" s="1164">
        <v>3076526.27</v>
      </c>
      <c r="F34" s="1164">
        <v>0</v>
      </c>
      <c r="G34" s="1164">
        <v>13521223.039999999</v>
      </c>
      <c r="H34"/>
      <c r="I34"/>
      <c r="J34"/>
      <c r="K34"/>
      <c r="L34" s="4"/>
    </row>
    <row r="35" spans="1:12">
      <c r="A35" s="1076">
        <f t="shared" si="1"/>
        <v>21</v>
      </c>
      <c r="B35" s="1085" t="s">
        <v>581</v>
      </c>
      <c r="C35" s="1164">
        <v>274393022.56999993</v>
      </c>
      <c r="D35" s="1164">
        <v>0</v>
      </c>
      <c r="E35" s="1164">
        <v>3214131.68</v>
      </c>
      <c r="F35" s="1164">
        <v>0</v>
      </c>
      <c r="G35" s="1164">
        <v>12778266.790000001</v>
      </c>
      <c r="H35"/>
      <c r="I35"/>
      <c r="J35"/>
      <c r="K35"/>
      <c r="L35" s="4"/>
    </row>
    <row r="36" spans="1:12">
      <c r="A36" s="1076">
        <f t="shared" si="1"/>
        <v>22</v>
      </c>
      <c r="B36" s="1085" t="s">
        <v>582</v>
      </c>
      <c r="C36" s="1164">
        <v>281605400.79000002</v>
      </c>
      <c r="D36" s="1164">
        <v>0</v>
      </c>
      <c r="E36" s="1164">
        <v>3341921.0899999994</v>
      </c>
      <c r="F36" s="1164">
        <v>0</v>
      </c>
      <c r="G36" s="1164">
        <v>13254233.499999998</v>
      </c>
      <c r="H36"/>
      <c r="I36"/>
      <c r="J36"/>
      <c r="K36"/>
      <c r="L36" s="4"/>
    </row>
    <row r="37" spans="1:12">
      <c r="A37" s="1076">
        <f t="shared" si="1"/>
        <v>23</v>
      </c>
      <c r="B37" s="1085" t="s">
        <v>717</v>
      </c>
      <c r="C37" s="1164">
        <v>288742232.03999996</v>
      </c>
      <c r="D37" s="1164">
        <v>0</v>
      </c>
      <c r="E37" s="1164">
        <v>3469795.9</v>
      </c>
      <c r="F37" s="1164">
        <v>0</v>
      </c>
      <c r="G37" s="1164">
        <v>13746512.040000001</v>
      </c>
      <c r="H37"/>
      <c r="I37"/>
      <c r="J37"/>
      <c r="K37"/>
      <c r="L37" s="4"/>
    </row>
    <row r="38" spans="1:12">
      <c r="A38" s="1076">
        <f t="shared" si="1"/>
        <v>24</v>
      </c>
      <c r="B38" s="1085" t="s">
        <v>584</v>
      </c>
      <c r="C38" s="1164">
        <v>295673759.17000002</v>
      </c>
      <c r="D38" s="1164">
        <v>0</v>
      </c>
      <c r="E38" s="1164">
        <v>3600178.52</v>
      </c>
      <c r="F38" s="1164">
        <v>0</v>
      </c>
      <c r="G38" s="1164">
        <v>13609480.49</v>
      </c>
      <c r="H38"/>
      <c r="I38"/>
      <c r="J38"/>
      <c r="K38"/>
      <c r="L38" s="4"/>
    </row>
    <row r="39" spans="1:12">
      <c r="A39" s="1076">
        <f t="shared" si="1"/>
        <v>25</v>
      </c>
      <c r="B39" s="1085" t="s">
        <v>585</v>
      </c>
      <c r="C39" s="1164">
        <v>302884469.35999995</v>
      </c>
      <c r="D39" s="1164">
        <v>0</v>
      </c>
      <c r="E39" s="1164">
        <v>3728434.3</v>
      </c>
      <c r="F39" s="1164">
        <v>0</v>
      </c>
      <c r="G39" s="1164">
        <v>14111012.77</v>
      </c>
      <c r="H39"/>
      <c r="I39"/>
      <c r="J39"/>
      <c r="K39"/>
      <c r="L39" s="4"/>
    </row>
    <row r="40" spans="1:12">
      <c r="A40" s="1076">
        <f t="shared" si="1"/>
        <v>26</v>
      </c>
      <c r="B40" s="1085" t="s">
        <v>586</v>
      </c>
      <c r="C40" s="1164">
        <v>310043606.94999993</v>
      </c>
      <c r="D40" s="1164">
        <v>0</v>
      </c>
      <c r="E40" s="1164">
        <v>3856752.28</v>
      </c>
      <c r="F40" s="1164">
        <v>0</v>
      </c>
      <c r="G40" s="1164">
        <v>14619909.66</v>
      </c>
      <c r="H40"/>
      <c r="I40"/>
      <c r="J40"/>
      <c r="K40"/>
      <c r="L40" s="4"/>
    </row>
    <row r="41" spans="1:12">
      <c r="A41" s="1086">
        <f t="shared" si="1"/>
        <v>27</v>
      </c>
      <c r="B41" s="1087" t="s">
        <v>718</v>
      </c>
      <c r="C41" s="1164">
        <v>318235874.21999997</v>
      </c>
      <c r="D41" s="1164">
        <v>0</v>
      </c>
      <c r="E41" s="1164">
        <v>3985915.84</v>
      </c>
      <c r="F41" s="1164">
        <v>0</v>
      </c>
      <c r="G41" s="1164">
        <v>14411019.040000001</v>
      </c>
      <c r="H41"/>
      <c r="I41"/>
      <c r="J41"/>
      <c r="K41"/>
      <c r="L41" s="4"/>
    </row>
    <row r="42" spans="1:12" ht="13.5" thickBot="1">
      <c r="A42" s="1095">
        <f t="shared" si="1"/>
        <v>28</v>
      </c>
      <c r="B42" s="1096" t="s">
        <v>719</v>
      </c>
      <c r="C42" s="1089">
        <f>SUM(C29:C41)/13</f>
        <v>274653595.92692304</v>
      </c>
      <c r="D42" s="1089">
        <f>SUM(D29:D41)/13</f>
        <v>0</v>
      </c>
      <c r="E42" s="1089">
        <f>SUM(E29:E41)/13</f>
        <v>3216055.8384615388</v>
      </c>
      <c r="F42" s="1089">
        <f>SUM(F29:F41)/13</f>
        <v>0</v>
      </c>
      <c r="G42" s="1090">
        <f>SUM(G29:G41)/13</f>
        <v>13243658.450769229</v>
      </c>
      <c r="H42"/>
      <c r="I42"/>
      <c r="J42"/>
      <c r="K42"/>
      <c r="L42" s="4"/>
    </row>
    <row r="43" spans="1:12" ht="13.5" thickTop="1">
      <c r="A43" s="1064"/>
      <c r="B43" s="1091"/>
      <c r="C43" s="1092"/>
      <c r="D43" s="1093"/>
      <c r="E43" s="1093"/>
      <c r="F43" s="1093"/>
      <c r="G43" s="1092"/>
      <c r="H43"/>
      <c r="I43"/>
      <c r="J43"/>
      <c r="K43"/>
      <c r="L43" s="4"/>
    </row>
    <row r="44" spans="1:12">
      <c r="A44" s="1064"/>
      <c r="B44" s="1091"/>
      <c r="C44" s="1092"/>
      <c r="D44" s="1093"/>
      <c r="E44" s="1093"/>
      <c r="F44" s="1093"/>
      <c r="G44" s="1092"/>
      <c r="H44" s="1092"/>
      <c r="I44" s="1092"/>
    </row>
    <row r="45" spans="1:12">
      <c r="A45" s="1097"/>
      <c r="B45" s="1098"/>
      <c r="C45" s="1099"/>
      <c r="D45" s="1100"/>
      <c r="E45" s="1100"/>
      <c r="F45" s="1146"/>
    </row>
    <row r="46" spans="1:12" ht="72" customHeight="1">
      <c r="A46" s="1101" t="s">
        <v>703</v>
      </c>
      <c r="B46" s="1078" t="s">
        <v>704</v>
      </c>
      <c r="C46" s="1102" t="s">
        <v>721</v>
      </c>
      <c r="D46" s="1073" t="s">
        <v>722</v>
      </c>
      <c r="E46" s="1073" t="s">
        <v>723</v>
      </c>
      <c r="F46" s="1094" t="s">
        <v>724</v>
      </c>
    </row>
    <row r="47" spans="1:12" s="1080" customFormat="1">
      <c r="A47" s="1076"/>
      <c r="B47" s="1078" t="s">
        <v>708</v>
      </c>
      <c r="C47" s="1103" t="s">
        <v>725</v>
      </c>
      <c r="D47" s="1078" t="s">
        <v>726</v>
      </c>
      <c r="E47" s="1078" t="s">
        <v>709</v>
      </c>
      <c r="F47" s="1077" t="s">
        <v>710</v>
      </c>
    </row>
    <row r="48" spans="1:12" s="1080" customFormat="1" ht="63.75">
      <c r="A48" s="1076"/>
      <c r="B48" s="1078" t="s">
        <v>714</v>
      </c>
      <c r="C48" s="1400" t="str">
        <f>"Company Records (included in total in column "&amp;C8&amp;" of gross plant above)"</f>
        <v>Company Records (included in total in column (d) of gross plant above)</v>
      </c>
      <c r="D48" s="1401" t="str">
        <f>"Company Records (included in total in column "&amp;C27&amp;" of accumulated depreciation above)"</f>
        <v>Company Records (included in total in column (d) of accumulated depreciation above)</v>
      </c>
      <c r="E48" s="1401" t="s">
        <v>960</v>
      </c>
      <c r="F48" s="1402" t="s">
        <v>961</v>
      </c>
    </row>
    <row r="49" spans="1:11">
      <c r="A49" s="1076">
        <f>+A42+1</f>
        <v>29</v>
      </c>
      <c r="B49" s="1104" t="s">
        <v>715</v>
      </c>
      <c r="C49" s="1105">
        <v>0</v>
      </c>
      <c r="D49" s="1084">
        <v>0</v>
      </c>
      <c r="E49" s="1084">
        <v>32717378.330000006</v>
      </c>
      <c r="F49" s="1147">
        <v>11307301.358915247</v>
      </c>
    </row>
    <row r="50" spans="1:11">
      <c r="A50" s="1076">
        <f>+A49+1</f>
        <v>30</v>
      </c>
      <c r="B50" s="1104" t="s">
        <v>576</v>
      </c>
      <c r="C50" s="1295">
        <v>0</v>
      </c>
      <c r="D50" s="1294">
        <v>0</v>
      </c>
      <c r="E50" s="1294">
        <v>35509653.189999998</v>
      </c>
      <c r="F50" s="1147">
        <v>11368187.913415924</v>
      </c>
    </row>
    <row r="51" spans="1:11">
      <c r="A51" s="1076">
        <f t="shared" ref="A51:A62" si="2">+A50+1</f>
        <v>31</v>
      </c>
      <c r="B51" s="1106" t="s">
        <v>577</v>
      </c>
      <c r="C51" s="1295">
        <v>0</v>
      </c>
      <c r="D51" s="1294">
        <v>0</v>
      </c>
      <c r="E51" s="1294">
        <v>35509653.189999998</v>
      </c>
      <c r="F51" s="1147">
        <v>11654112.744776169</v>
      </c>
    </row>
    <row r="52" spans="1:11">
      <c r="A52" s="1076">
        <f t="shared" si="2"/>
        <v>32</v>
      </c>
      <c r="B52" s="1106" t="s">
        <v>716</v>
      </c>
      <c r="C52" s="1295">
        <v>0</v>
      </c>
      <c r="D52" s="1294">
        <v>0</v>
      </c>
      <c r="E52" s="1294">
        <v>35509653.189999998</v>
      </c>
      <c r="F52" s="1147">
        <v>11894838.206970043</v>
      </c>
    </row>
    <row r="53" spans="1:11">
      <c r="A53" s="1076">
        <f t="shared" si="2"/>
        <v>33</v>
      </c>
      <c r="B53" s="1106" t="s">
        <v>579</v>
      </c>
      <c r="C53" s="1295">
        <v>0</v>
      </c>
      <c r="D53" s="1294">
        <v>0</v>
      </c>
      <c r="E53" s="1294">
        <v>35509653.189999998</v>
      </c>
      <c r="F53" s="1147">
        <v>11967724.314016372</v>
      </c>
    </row>
    <row r="54" spans="1:11">
      <c r="A54" s="1076">
        <f t="shared" si="2"/>
        <v>34</v>
      </c>
      <c r="B54" s="1106" t="s">
        <v>580</v>
      </c>
      <c r="C54" s="1295">
        <v>0</v>
      </c>
      <c r="D54" s="1294">
        <v>0</v>
      </c>
      <c r="E54" s="1294">
        <v>35509653.189999998</v>
      </c>
      <c r="F54" s="1147">
        <v>12032466.84036346</v>
      </c>
    </row>
    <row r="55" spans="1:11">
      <c r="A55" s="1076">
        <f t="shared" si="2"/>
        <v>35</v>
      </c>
      <c r="B55" s="1106" t="s">
        <v>581</v>
      </c>
      <c r="C55" s="1295">
        <v>0</v>
      </c>
      <c r="D55" s="1294">
        <v>0</v>
      </c>
      <c r="E55" s="1294">
        <v>35509653.189999998</v>
      </c>
      <c r="F55" s="1147">
        <v>12120641.696179539</v>
      </c>
    </row>
    <row r="56" spans="1:11">
      <c r="A56" s="1076">
        <f t="shared" si="2"/>
        <v>36</v>
      </c>
      <c r="B56" s="1106" t="s">
        <v>582</v>
      </c>
      <c r="C56" s="1295">
        <v>0</v>
      </c>
      <c r="D56" s="1294">
        <v>0</v>
      </c>
      <c r="E56" s="1294">
        <v>35509653.189999998</v>
      </c>
      <c r="F56" s="1147">
        <v>12215383.666610107</v>
      </c>
    </row>
    <row r="57" spans="1:11">
      <c r="A57" s="1076">
        <f t="shared" si="2"/>
        <v>37</v>
      </c>
      <c r="B57" s="1106" t="s">
        <v>717</v>
      </c>
      <c r="C57" s="1295">
        <v>0</v>
      </c>
      <c r="D57" s="1294">
        <v>0</v>
      </c>
      <c r="E57" s="1294">
        <v>35509653.189999998</v>
      </c>
      <c r="F57" s="1147">
        <v>12289691.194928171</v>
      </c>
    </row>
    <row r="58" spans="1:11">
      <c r="A58" s="1076">
        <f t="shared" si="2"/>
        <v>38</v>
      </c>
      <c r="B58" s="1106" t="s">
        <v>584</v>
      </c>
      <c r="C58" s="1295">
        <v>0</v>
      </c>
      <c r="D58" s="1294">
        <v>0</v>
      </c>
      <c r="E58" s="1294">
        <v>35509653.189999998</v>
      </c>
      <c r="F58" s="1147">
        <v>12009182.83433743</v>
      </c>
    </row>
    <row r="59" spans="1:11">
      <c r="A59" s="1076">
        <f t="shared" si="2"/>
        <v>39</v>
      </c>
      <c r="B59" s="1106" t="s">
        <v>585</v>
      </c>
      <c r="C59" s="1295">
        <v>0</v>
      </c>
      <c r="D59" s="1294">
        <v>0</v>
      </c>
      <c r="E59" s="1294">
        <v>35509653.189999998</v>
      </c>
      <c r="F59" s="1147">
        <v>11944437.82264653</v>
      </c>
    </row>
    <row r="60" spans="1:11">
      <c r="A60" s="1076">
        <f t="shared" si="2"/>
        <v>40</v>
      </c>
      <c r="B60" s="1106" t="s">
        <v>586</v>
      </c>
      <c r="C60" s="1295">
        <v>0</v>
      </c>
      <c r="D60" s="1294">
        <v>0</v>
      </c>
      <c r="E60" s="1294">
        <v>35509653.189999998</v>
      </c>
      <c r="F60" s="1147">
        <v>11961257.097718248</v>
      </c>
    </row>
    <row r="61" spans="1:11">
      <c r="A61" s="1086">
        <f t="shared" si="2"/>
        <v>41</v>
      </c>
      <c r="B61" s="1107" t="s">
        <v>718</v>
      </c>
      <c r="C61" s="1108">
        <v>0</v>
      </c>
      <c r="D61" s="1084">
        <v>0</v>
      </c>
      <c r="E61" s="1084">
        <v>35521434.149999999</v>
      </c>
      <c r="F61" s="1147">
        <v>11961463.396885728</v>
      </c>
    </row>
    <row r="62" spans="1:11" ht="13.5" thickBot="1">
      <c r="A62" s="1109">
        <f t="shared" si="2"/>
        <v>42</v>
      </c>
      <c r="B62" s="1096" t="s">
        <v>719</v>
      </c>
      <c r="C62" s="1089">
        <f>SUM(C49:C61)/13</f>
        <v>0</v>
      </c>
      <c r="D62" s="1089">
        <f>SUM(D49:D61)/13</f>
        <v>0</v>
      </c>
      <c r="E62" s="1089">
        <f>SUM(E49:E61)/13</f>
        <v>35295769.043846145</v>
      </c>
      <c r="F62" s="1090">
        <f>SUM(F49:F61)/13</f>
        <v>11902053.006750997</v>
      </c>
    </row>
    <row r="63" spans="1:11" ht="13.5" thickTop="1">
      <c r="A63" s="1064"/>
      <c r="B63" s="1091"/>
      <c r="I63" s="1093"/>
      <c r="K63" s="4"/>
    </row>
    <row r="64" spans="1:11">
      <c r="A64" s="1064">
        <v>43</v>
      </c>
      <c r="B64" s="1091" t="s">
        <v>727</v>
      </c>
      <c r="C64" s="1465">
        <f>+C42-C62-D62-F62</f>
        <v>262751542.92017204</v>
      </c>
      <c r="I64" s="1093"/>
      <c r="K64" s="4"/>
    </row>
    <row r="65" spans="1:6" customFormat="1"/>
    <row r="66" spans="1:6" customFormat="1"/>
    <row r="67" spans="1:6" customFormat="1" ht="25.5">
      <c r="A67" s="1113" t="s">
        <v>332</v>
      </c>
      <c r="B67" s="1114"/>
      <c r="C67" s="1115" t="s">
        <v>330</v>
      </c>
      <c r="D67" s="1116" t="str">
        <f>"Balance @ December 31, "&amp;TCOS!L4&amp;""</f>
        <v>Balance @ December 31, 2022</v>
      </c>
      <c r="E67" s="1117" t="str">
        <f>"Balance @ December 31, "&amp;TCOS!L4-1&amp;""</f>
        <v>Balance @ December 31, 2021</v>
      </c>
      <c r="F67" s="1117" t="str">
        <f>"Average Balance for "&amp;TCOS!L4&amp;""</f>
        <v>Average Balance for 2022</v>
      </c>
    </row>
    <row r="68" spans="1:6" customFormat="1">
      <c r="A68" s="1118"/>
      <c r="B68" s="1078" t="s">
        <v>708</v>
      </c>
      <c r="C68" s="1078" t="s">
        <v>725</v>
      </c>
      <c r="D68" s="1078" t="s">
        <v>726</v>
      </c>
      <c r="E68" s="1078" t="s">
        <v>709</v>
      </c>
      <c r="F68" s="1078" t="s">
        <v>710</v>
      </c>
    </row>
    <row r="69" spans="1:6" customFormat="1">
      <c r="A69" s="1119">
        <f>+A64+1</f>
        <v>44</v>
      </c>
      <c r="B69" s="1118" t="s">
        <v>332</v>
      </c>
      <c r="C69" s="1120" t="s">
        <v>179</v>
      </c>
      <c r="D69" s="432">
        <v>0</v>
      </c>
      <c r="E69" s="432">
        <v>0</v>
      </c>
      <c r="F69" s="1121">
        <f>IF(E69="",0,AVERAGE(D69:E69))</f>
        <v>0</v>
      </c>
    </row>
    <row r="70" spans="1:6" customFormat="1">
      <c r="A70" s="1122"/>
      <c r="B70" s="1123"/>
      <c r="C70" s="1123"/>
      <c r="F70" s="1124"/>
    </row>
    <row r="71" spans="1:6" customFormat="1">
      <c r="A71" s="1119">
        <f>+A69+1</f>
        <v>45</v>
      </c>
      <c r="B71" s="1118" t="s">
        <v>779</v>
      </c>
      <c r="C71" s="1125" t="s">
        <v>336</v>
      </c>
      <c r="D71" s="432">
        <v>0</v>
      </c>
      <c r="E71" s="432">
        <v>0</v>
      </c>
      <c r="F71" s="1121">
        <f>IF(E71="",0,AVERAGE(D71:E71))</f>
        <v>0</v>
      </c>
    </row>
    <row r="72" spans="1:6" customFormat="1">
      <c r="A72" s="4"/>
      <c r="B72" s="4"/>
      <c r="C72" s="4"/>
      <c r="D72" s="4"/>
    </row>
    <row r="73" spans="1:6" customFormat="1">
      <c r="A73" s="1118" t="s">
        <v>23</v>
      </c>
      <c r="B73" s="4"/>
      <c r="C73" s="4"/>
      <c r="D73" s="4"/>
    </row>
    <row r="74" spans="1:6" customFormat="1">
      <c r="A74" s="1126"/>
      <c r="B74" s="1123" t="s">
        <v>165</v>
      </c>
      <c r="C74" s="1123"/>
      <c r="D74" s="1123"/>
      <c r="E74" s="1123"/>
      <c r="F74" s="1123"/>
    </row>
    <row r="75" spans="1:6" customFormat="1">
      <c r="A75" s="1119">
        <f>+A71+1</f>
        <v>46</v>
      </c>
      <c r="B75" s="1127"/>
      <c r="C75" s="1127"/>
      <c r="D75" s="432"/>
      <c r="E75" s="432"/>
      <c r="F75" s="1121">
        <f>IF(E75="",0,AVERAGE(D75:E75))</f>
        <v>0</v>
      </c>
    </row>
    <row r="76" spans="1:6" customFormat="1">
      <c r="A76" s="1119">
        <f>+A75+1</f>
        <v>47</v>
      </c>
      <c r="B76" s="1127"/>
      <c r="C76" s="1127"/>
      <c r="D76" s="432"/>
      <c r="E76" s="432"/>
      <c r="F76" s="1121">
        <f>IF(E76="",0,AVERAGE(D76:E76))</f>
        <v>0</v>
      </c>
    </row>
    <row r="77" spans="1:6" customFormat="1">
      <c r="A77" s="1119">
        <f>+A76+1</f>
        <v>48</v>
      </c>
      <c r="B77" s="1127"/>
      <c r="C77" s="1127"/>
      <c r="D77" s="432"/>
      <c r="E77" s="432"/>
      <c r="F77" s="1121">
        <f>IF(E77="",0,AVERAGE(D77:E77))</f>
        <v>0</v>
      </c>
    </row>
    <row r="78" spans="1:6" customFormat="1">
      <c r="A78" s="1119">
        <f>+A77+1</f>
        <v>49</v>
      </c>
      <c r="B78" s="1127"/>
      <c r="C78" s="1127"/>
      <c r="D78" s="432"/>
      <c r="E78" s="432"/>
      <c r="F78" s="1121">
        <f>IF(E78="",0,AVERAGE(D78:E78))</f>
        <v>0</v>
      </c>
    </row>
    <row r="79" spans="1:6" customFormat="1">
      <c r="A79" s="1119">
        <f>+A78+1</f>
        <v>50</v>
      </c>
      <c r="B79" s="1127"/>
      <c r="C79" s="1127"/>
      <c r="D79" s="1128"/>
      <c r="E79" s="1128"/>
      <c r="F79" s="1129">
        <f>IF(E79="",0,AVERAGE(D79:E79))</f>
        <v>0</v>
      </c>
    </row>
    <row r="80" spans="1:6" customFormat="1" ht="18" customHeight="1">
      <c r="A80" s="1119">
        <f>+A79+1</f>
        <v>51</v>
      </c>
      <c r="B80" s="1123" t="s">
        <v>728</v>
      </c>
      <c r="C80" s="1123"/>
      <c r="D80" s="1130">
        <f>SUM(D75:D79)</f>
        <v>0</v>
      </c>
      <c r="E80" s="1130">
        <f>SUM(E75:E79)</f>
        <v>0</v>
      </c>
      <c r="F80" s="1130">
        <f>SUM(F75:F79)</f>
        <v>0</v>
      </c>
    </row>
    <row r="81" spans="1:6" customFormat="1" ht="17.25" customHeight="1">
      <c r="A81" s="1119"/>
      <c r="B81" s="1123"/>
      <c r="C81" s="1123"/>
      <c r="D81" s="1130"/>
      <c r="E81" s="1130"/>
      <c r="F81" s="1130"/>
    </row>
    <row r="82" spans="1:6" customFormat="1" ht="18.75" customHeight="1">
      <c r="A82" s="1118" t="s">
        <v>729</v>
      </c>
      <c r="B82" s="1131"/>
      <c r="C82" s="1131"/>
      <c r="D82" s="1131"/>
      <c r="E82" s="1123"/>
      <c r="F82" s="1123"/>
    </row>
    <row r="83" spans="1:6" customFormat="1" ht="31.5" customHeight="1">
      <c r="A83" s="1114"/>
      <c r="B83" s="1132"/>
      <c r="C83" s="1133"/>
      <c r="D83" s="5"/>
      <c r="E83" s="1123"/>
      <c r="F83" s="1123"/>
    </row>
    <row r="84" spans="1:6" customFormat="1" ht="21.75" customHeight="1">
      <c r="A84" s="1114">
        <f>+A80+1</f>
        <v>52</v>
      </c>
      <c r="B84" s="1134" t="s">
        <v>467</v>
      </c>
      <c r="C84" s="1134" t="s">
        <v>112</v>
      </c>
      <c r="D84" s="1135"/>
      <c r="E84" s="9"/>
      <c r="F84" s="1134"/>
    </row>
    <row r="85" spans="1:6" customFormat="1" ht="14.25">
      <c r="A85" s="1136" t="s">
        <v>730</v>
      </c>
      <c r="B85" s="1137"/>
      <c r="C85" s="1138"/>
      <c r="D85" s="432"/>
      <c r="E85" s="432"/>
      <c r="F85" s="1139">
        <f>IF(E85="",0,AVERAGE(D85:E85))</f>
        <v>0</v>
      </c>
    </row>
    <row r="86" spans="1:6" customFormat="1" ht="14.25">
      <c r="A86" s="1140" t="s">
        <v>731</v>
      </c>
      <c r="B86" s="432"/>
      <c r="C86" s="1138"/>
      <c r="D86" s="432"/>
      <c r="E86" s="432"/>
      <c r="F86" s="1141">
        <f>IF(E86="",0,AVERAGE(D86:E86))</f>
        <v>0</v>
      </c>
    </row>
    <row r="87" spans="1:6" customFormat="1" ht="18" customHeight="1">
      <c r="A87" s="1142">
        <f>A84+2</f>
        <v>54</v>
      </c>
      <c r="B87" s="9"/>
      <c r="C87" s="1143" t="s">
        <v>420</v>
      </c>
      <c r="D87" s="1111">
        <f>SUM(D85:D86)</f>
        <v>0</v>
      </c>
      <c r="E87" s="1111">
        <f>SUM(E85:E86)</f>
        <v>0</v>
      </c>
      <c r="F87" s="1111">
        <f>SUM(F85:F86)</f>
        <v>0</v>
      </c>
    </row>
    <row r="88" spans="1:6" customFormat="1">
      <c r="A88" s="1119"/>
      <c r="B88" s="1123"/>
      <c r="C88" s="1123"/>
      <c r="D88" s="1123"/>
    </row>
    <row r="89" spans="1:6">
      <c r="A89" s="1144" t="s">
        <v>732</v>
      </c>
      <c r="B89" s="1123"/>
      <c r="C89" s="1123"/>
      <c r="D89" s="1123"/>
    </row>
    <row r="90" spans="1:6">
      <c r="A90" s="1144" t="s">
        <v>733</v>
      </c>
      <c r="B90" s="1123"/>
      <c r="C90" s="1123"/>
      <c r="D90" s="1123"/>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95" t="s">
        <v>416</v>
      </c>
    </row>
    <row r="2" spans="1:21" ht="15.75">
      <c r="A2" s="995" t="s">
        <v>416</v>
      </c>
    </row>
    <row r="3" spans="1:21" ht="18">
      <c r="A3" s="1551" t="str">
        <f>TCOS!$F$5</f>
        <v>AEPTCo subsidiaries in PJM</v>
      </c>
      <c r="B3" s="1551" t="str">
        <f>TCOS!$F$5</f>
        <v>AEPTCo subsidiaries in PJM</v>
      </c>
      <c r="C3" s="1551" t="str">
        <f>TCOS!$F$5</f>
        <v>AEPTCo subsidiaries in PJM</v>
      </c>
      <c r="D3" s="1551" t="str">
        <f>TCOS!$F$5</f>
        <v>AEPTCo subsidiaries in PJM</v>
      </c>
      <c r="E3" s="1551" t="str">
        <f>TCOS!$F$5</f>
        <v>AEPTCo subsidiaries in PJM</v>
      </c>
      <c r="F3" s="1551" t="str">
        <f>TCOS!$F$5</f>
        <v>AEPTCo subsidiaries in PJM</v>
      </c>
      <c r="G3" s="1551" t="str">
        <f>TCOS!$F$5</f>
        <v>AEPTCo subsidiaries in PJM</v>
      </c>
      <c r="H3" s="1551" t="str">
        <f>TCOS!$F$5</f>
        <v>AEPTCo subsidiaries in PJM</v>
      </c>
      <c r="I3" s="1551" t="str">
        <f>TCOS!$F$5</f>
        <v>AEPTCo subsidiaries in PJM</v>
      </c>
      <c r="J3" s="1551" t="str">
        <f>TCOS!$F$5</f>
        <v>AEPTCo subsidiaries in PJM</v>
      </c>
      <c r="K3" s="1551" t="str">
        <f>TCOS!$F$5</f>
        <v>AEPTCo subsidiaries in PJM</v>
      </c>
      <c r="L3" s="1551" t="str">
        <f>TCOS!$F$5</f>
        <v>AEPTCo subsidiaries in PJM</v>
      </c>
      <c r="M3" s="1551" t="str">
        <f>TCOS!$F$5</f>
        <v>AEPTCo subsidiaries in PJM</v>
      </c>
      <c r="N3" s="1551" t="str">
        <f>TCOS!$F$5</f>
        <v>AEPTCo subsidiaries in PJM</v>
      </c>
      <c r="O3" s="1551" t="str">
        <f>TCOS!$F$5</f>
        <v>AEPTCo subsidiaries in PJM</v>
      </c>
    </row>
    <row r="4" spans="1:21" ht="18">
      <c r="A4" s="1550" t="str">
        <f>"Cost of Service Formula Rate Using Actual/Projected FF1 Balances"</f>
        <v>Cost of Service Formula Rate Using Actual/Projected FF1 Balances</v>
      </c>
      <c r="B4" s="1550"/>
      <c r="C4" s="1550"/>
      <c r="D4" s="1550"/>
      <c r="E4" s="1550"/>
      <c r="F4" s="1550"/>
      <c r="G4" s="1550"/>
      <c r="H4" s="1550"/>
      <c r="I4" s="1550"/>
      <c r="J4" s="1550"/>
      <c r="K4" s="1550"/>
      <c r="L4" s="1550"/>
      <c r="M4" s="1550"/>
      <c r="N4" s="1550"/>
      <c r="O4" s="1550"/>
    </row>
    <row r="5" spans="1:21" ht="18">
      <c r="A5" s="1550" t="s">
        <v>26</v>
      </c>
      <c r="B5" s="1550"/>
      <c r="C5" s="1550"/>
      <c r="D5" s="1550"/>
      <c r="E5" s="1550"/>
      <c r="F5" s="1550"/>
      <c r="G5" s="1550"/>
      <c r="H5" s="1550"/>
      <c r="I5" s="1550"/>
      <c r="J5" s="1550"/>
      <c r="K5" s="1550"/>
      <c r="L5" s="1550"/>
      <c r="M5" s="1550"/>
      <c r="N5" s="1550"/>
      <c r="O5" s="1550"/>
    </row>
    <row r="6" spans="1:21" ht="18">
      <c r="A6" s="1542" t="str">
        <f>+TCOS!F9</f>
        <v>AEP Indiana Michigan Transmission Company</v>
      </c>
      <c r="B6" s="1542"/>
      <c r="C6" s="1542"/>
      <c r="D6" s="1542"/>
      <c r="E6" s="1542"/>
      <c r="F6" s="1542"/>
      <c r="G6" s="1542"/>
      <c r="H6" s="1542"/>
      <c r="I6" s="1542"/>
      <c r="J6" s="1542"/>
      <c r="K6" s="1542"/>
      <c r="L6" s="1542"/>
      <c r="M6" s="1542"/>
      <c r="N6" s="1542"/>
      <c r="O6" s="1542"/>
    </row>
    <row r="7" spans="1:21" ht="12.75" customHeight="1">
      <c r="A7" s="81"/>
      <c r="B7" s="81"/>
      <c r="C7" s="81"/>
      <c r="D7" s="81"/>
      <c r="E7" s="81"/>
      <c r="F7" s="81"/>
      <c r="G7" s="81"/>
      <c r="H7" s="81"/>
      <c r="I7" s="81"/>
      <c r="J7" s="81"/>
      <c r="K7" s="81"/>
      <c r="L7" s="81"/>
    </row>
    <row r="8" spans="1:21" ht="12.75" customHeight="1">
      <c r="A8" s="1580" t="s">
        <v>18</v>
      </c>
      <c r="B8" s="1580"/>
      <c r="C8" s="1580"/>
      <c r="D8" s="1580"/>
      <c r="E8" s="1580"/>
      <c r="F8" s="1580"/>
      <c r="G8" s="1580"/>
      <c r="H8" s="1580"/>
      <c r="I8" s="1580"/>
      <c r="J8" s="1580"/>
      <c r="K8" s="1580"/>
      <c r="L8" s="1580"/>
      <c r="M8" s="1580"/>
      <c r="N8" s="1580"/>
      <c r="O8" s="1580"/>
    </row>
    <row r="9" spans="1:21" ht="12.75" customHeight="1">
      <c r="A9" s="1580"/>
      <c r="B9" s="1580"/>
      <c r="C9" s="1580"/>
      <c r="D9" s="1580"/>
      <c r="E9" s="1580"/>
      <c r="F9" s="1580"/>
      <c r="G9" s="1580"/>
      <c r="H9" s="1580"/>
      <c r="I9" s="1580"/>
      <c r="J9" s="1580"/>
      <c r="K9" s="1580"/>
      <c r="L9" s="1580"/>
      <c r="M9" s="1580"/>
      <c r="N9" s="1580"/>
      <c r="O9" s="1580"/>
    </row>
    <row r="10" spans="1:21">
      <c r="A10" s="1580"/>
      <c r="B10" s="1580"/>
      <c r="C10" s="1580"/>
      <c r="D10" s="1580"/>
      <c r="E10" s="1580"/>
      <c r="F10" s="1580"/>
      <c r="G10" s="1580"/>
      <c r="H10" s="1580"/>
      <c r="I10" s="1580"/>
      <c r="J10" s="1580"/>
      <c r="K10" s="1580"/>
      <c r="L10" s="1580"/>
      <c r="M10" s="1580"/>
      <c r="N10" s="1580"/>
      <c r="O10" s="1580"/>
    </row>
    <row r="11" spans="1:21">
      <c r="A11" s="1580"/>
      <c r="B11" s="1580"/>
      <c r="C11" s="1580"/>
      <c r="D11" s="1580"/>
      <c r="E11" s="1580"/>
      <c r="F11" s="1580"/>
      <c r="G11" s="1580"/>
      <c r="H11" s="1580"/>
      <c r="I11" s="1580"/>
      <c r="J11" s="1580"/>
      <c r="K11" s="1580"/>
      <c r="L11" s="1580"/>
      <c r="M11" s="1580"/>
      <c r="N11" s="1580"/>
      <c r="O11" s="1580"/>
    </row>
    <row r="12" spans="1:21">
      <c r="B12" s="1" t="s">
        <v>462</v>
      </c>
      <c r="C12" s="1"/>
      <c r="D12" s="1549" t="s">
        <v>463</v>
      </c>
      <c r="E12" s="1549"/>
      <c r="F12" s="1549"/>
      <c r="G12" s="1549"/>
      <c r="H12" s="1"/>
      <c r="I12" s="1" t="s">
        <v>333</v>
      </c>
      <c r="J12" s="1"/>
      <c r="K12" s="1" t="s">
        <v>465</v>
      </c>
      <c r="L12" s="1"/>
      <c r="M12" s="1" t="s">
        <v>385</v>
      </c>
      <c r="N12" s="1"/>
      <c r="O12" s="1" t="s">
        <v>386</v>
      </c>
      <c r="P12" s="1"/>
      <c r="Q12" s="1" t="s">
        <v>359</v>
      </c>
      <c r="R12" s="1"/>
      <c r="S12" s="1" t="s">
        <v>392</v>
      </c>
      <c r="U12" s="56" t="s">
        <v>298</v>
      </c>
    </row>
    <row r="13" spans="1:21">
      <c r="I13" s="1578" t="s">
        <v>357</v>
      </c>
      <c r="Q13" s="1581" t="s">
        <v>358</v>
      </c>
      <c r="S13" s="1578" t="s">
        <v>360</v>
      </c>
      <c r="U13" s="139" t="s">
        <v>275</v>
      </c>
    </row>
    <row r="14" spans="1:21">
      <c r="A14" s="84" t="s">
        <v>356</v>
      </c>
      <c r="B14" s="84" t="s">
        <v>352</v>
      </c>
      <c r="C14" s="84"/>
      <c r="D14" s="102" t="s">
        <v>353</v>
      </c>
      <c r="E14" s="84"/>
      <c r="F14" s="84"/>
      <c r="G14" s="84"/>
      <c r="H14" s="84"/>
      <c r="I14" s="1579"/>
      <c r="J14" s="84"/>
      <c r="K14" s="84" t="s">
        <v>354</v>
      </c>
      <c r="L14" s="84"/>
      <c r="M14" s="84" t="s">
        <v>355</v>
      </c>
      <c r="N14" s="84"/>
      <c r="O14" s="84" t="s">
        <v>292</v>
      </c>
      <c r="Q14" s="1581"/>
      <c r="S14" s="1578"/>
      <c r="U14" s="139" t="s">
        <v>112</v>
      </c>
    </row>
    <row r="15" spans="1:21">
      <c r="A15" s="84"/>
      <c r="B15" s="84"/>
      <c r="C15" s="84"/>
      <c r="D15" s="102"/>
      <c r="E15" s="84"/>
      <c r="F15" s="84"/>
      <c r="G15" s="84"/>
      <c r="H15" s="84"/>
      <c r="I15" s="2" t="s">
        <v>290</v>
      </c>
      <c r="J15" s="84"/>
      <c r="K15" s="84"/>
      <c r="L15" s="84"/>
      <c r="M15" s="84"/>
      <c r="N15" s="84"/>
      <c r="O15" s="84"/>
      <c r="Q15" s="111"/>
      <c r="S15" s="84" t="s">
        <v>292</v>
      </c>
    </row>
    <row r="16" spans="1:21">
      <c r="I16" t="s">
        <v>291</v>
      </c>
    </row>
    <row r="17" spans="1:21">
      <c r="A17" s="1">
        <v>1</v>
      </c>
      <c r="B17" s="848"/>
      <c r="D17" s="1582"/>
      <c r="E17" s="1582"/>
      <c r="F17" s="1582"/>
      <c r="G17" s="1582"/>
      <c r="I17" s="849"/>
      <c r="K17" s="847"/>
      <c r="L17" s="75"/>
      <c r="M17" s="847"/>
      <c r="O17" s="88">
        <f>+K17-M17</f>
        <v>0</v>
      </c>
      <c r="Q17" s="104">
        <f>IF(I17="G",TCOS!L219,IF(I17="T",1,0))</f>
        <v>0</v>
      </c>
      <c r="S17" s="88">
        <f>ROUND(O17*Q17,0)</f>
        <v>0</v>
      </c>
      <c r="U17" s="850"/>
    </row>
    <row r="18" spans="1:21">
      <c r="A18" s="1"/>
      <c r="D18" s="1582"/>
      <c r="E18" s="1582"/>
      <c r="F18" s="1582"/>
      <c r="G18" s="1582"/>
      <c r="K18" s="75"/>
      <c r="L18" s="75"/>
      <c r="M18" s="75"/>
      <c r="O18" s="75"/>
      <c r="Q18" s="104"/>
      <c r="S18" s="75"/>
    </row>
    <row r="19" spans="1:21">
      <c r="A19" s="1"/>
      <c r="D19" s="1582"/>
      <c r="E19" s="1582"/>
      <c r="F19" s="1582"/>
      <c r="G19" s="1582"/>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48"/>
      <c r="D22" s="1582"/>
      <c r="E22" s="1582"/>
      <c r="F22" s="1582"/>
      <c r="G22" s="1582"/>
      <c r="I22" s="849"/>
      <c r="K22" s="847"/>
      <c r="L22" s="75"/>
      <c r="M22" s="847"/>
      <c r="O22" s="88">
        <f>+K22-M22</f>
        <v>0</v>
      </c>
      <c r="Q22" s="104">
        <f>IF(I22="G",TCOS!L219,IF(I22="T",1,0))</f>
        <v>0</v>
      </c>
      <c r="S22" s="88">
        <f>ROUND(O22*Q22,0)</f>
        <v>0</v>
      </c>
      <c r="U22" s="850"/>
    </row>
    <row r="23" spans="1:21">
      <c r="A23" s="1"/>
      <c r="D23" s="1582"/>
      <c r="E23" s="1582"/>
      <c r="F23" s="1582"/>
      <c r="G23" s="1582"/>
      <c r="K23" s="75"/>
      <c r="L23" s="75"/>
      <c r="M23" s="75"/>
      <c r="O23" s="75"/>
      <c r="Q23" s="104"/>
      <c r="S23" s="75"/>
    </row>
    <row r="24" spans="1:21">
      <c r="A24" s="1"/>
      <c r="D24" s="1582"/>
      <c r="E24" s="1582"/>
      <c r="F24" s="1582"/>
      <c r="G24" s="1582"/>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48"/>
      <c r="D27" s="1582"/>
      <c r="E27" s="1582"/>
      <c r="F27" s="1582"/>
      <c r="G27" s="1582"/>
      <c r="I27" s="849"/>
      <c r="K27" s="847"/>
      <c r="L27" s="75"/>
      <c r="M27" s="847"/>
      <c r="O27" s="88">
        <f>+K27-M27</f>
        <v>0</v>
      </c>
      <c r="Q27" s="104">
        <f>IF(I27="G",TCOS!L219,IF(I27="T",1,0))</f>
        <v>0</v>
      </c>
      <c r="S27" s="88">
        <f>ROUND(O27*Q27,0)</f>
        <v>0</v>
      </c>
      <c r="U27" s="850"/>
    </row>
    <row r="28" spans="1:21">
      <c r="A28" s="1"/>
      <c r="D28" s="1582"/>
      <c r="E28" s="1582"/>
      <c r="F28" s="1582"/>
      <c r="G28" s="1582"/>
      <c r="K28" s="75"/>
      <c r="L28" s="75"/>
      <c r="M28" s="75"/>
      <c r="O28" s="75"/>
      <c r="Q28" s="104"/>
      <c r="S28" s="75"/>
    </row>
    <row r="29" spans="1:21">
      <c r="A29" s="1"/>
      <c r="D29" s="1582"/>
      <c r="E29" s="1582"/>
      <c r="F29" s="1582"/>
      <c r="G29" s="1582"/>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e">
        <f>"Net (Gain) or Loss for "&amp;TCOS!#REF!&amp;""</f>
        <v>#REF!</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9"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F37"/>
  <sheetViews>
    <sheetView view="pageBreakPreview" zoomScale="90" zoomScaleNormal="80" zoomScaleSheetLayoutView="90" workbookViewId="0">
      <selection activeCell="A2" sqref="A2"/>
    </sheetView>
  </sheetViews>
  <sheetFormatPr defaultColWidth="11.42578125" defaultRowHeight="12.75"/>
  <cols>
    <col min="1" max="1" width="37.85546875" style="1260" customWidth="1"/>
    <col min="2" max="2" width="25.42578125" style="1260" customWidth="1"/>
    <col min="3" max="3" width="53.42578125" style="1260" customWidth="1"/>
    <col min="4" max="4" width="18.42578125" style="1260" customWidth="1"/>
    <col min="5" max="5" width="11.42578125" style="1260" customWidth="1"/>
    <col min="6" max="6" width="13.7109375" style="1260" bestFit="1" customWidth="1"/>
    <col min="7" max="16384" width="11.42578125" style="1260"/>
  </cols>
  <sheetData>
    <row r="1" spans="1:6" ht="15.75">
      <c r="A1" s="1259" t="s">
        <v>416</v>
      </c>
    </row>
    <row r="2" spans="1:6" ht="15.75">
      <c r="A2" s="1259" t="s">
        <v>416</v>
      </c>
    </row>
    <row r="3" spans="1:6" ht="15.75">
      <c r="A3" s="1584" t="str">
        <f>TCOS!F5</f>
        <v>AEPTCo subsidiaries in PJM</v>
      </c>
      <c r="B3" s="1584" t="s">
        <v>331</v>
      </c>
      <c r="C3" s="1584" t="s">
        <v>331</v>
      </c>
      <c r="D3" s="1584" t="s">
        <v>331</v>
      </c>
    </row>
    <row r="4" spans="1:6" ht="15.75">
      <c r="A4" s="1584" t="str">
        <f>"Cost of Service Formula Rate Using Actual/Projected FF1 Balances"</f>
        <v>Cost of Service Formula Rate Using Actual/Projected FF1 Balances</v>
      </c>
      <c r="B4" s="1584"/>
      <c r="C4" s="1584"/>
      <c r="D4" s="1584"/>
    </row>
    <row r="5" spans="1:6" ht="15.75">
      <c r="A5" s="1584" t="s">
        <v>780</v>
      </c>
      <c r="B5" s="1584"/>
      <c r="C5" s="1584"/>
      <c r="D5" s="1584"/>
    </row>
    <row r="6" spans="1:6" ht="15.75">
      <c r="A6" s="1584" t="s">
        <v>781</v>
      </c>
      <c r="B6" s="1584"/>
      <c r="C6" s="1584"/>
      <c r="D6" s="1584"/>
    </row>
    <row r="7" spans="1:6" ht="15.75">
      <c r="A7" s="1585" t="str">
        <f>TCOS!F9</f>
        <v>AEP Indiana Michigan Transmission Company</v>
      </c>
      <c r="B7" s="1585"/>
      <c r="C7" s="1585"/>
      <c r="D7" s="1585"/>
    </row>
    <row r="8" spans="1:6" ht="15.75">
      <c r="A8" s="1262"/>
      <c r="B8" s="1263"/>
      <c r="C8" s="1263"/>
      <c r="D8" s="1263"/>
    </row>
    <row r="9" spans="1:6" ht="15.75">
      <c r="A9" s="1264"/>
      <c r="B9" s="1265"/>
      <c r="C9" s="1265"/>
      <c r="D9" s="1265"/>
    </row>
    <row r="10" spans="1:6" ht="15.75">
      <c r="A10" s="1266"/>
      <c r="B10" s="1266"/>
      <c r="C10" s="1266"/>
      <c r="D10" s="1266"/>
    </row>
    <row r="11" spans="1:6" ht="15.75">
      <c r="A11" s="1267" t="s">
        <v>782</v>
      </c>
      <c r="B11" s="1265" t="s">
        <v>462</v>
      </c>
      <c r="C11" s="1268"/>
      <c r="D11" s="1265" t="s">
        <v>463</v>
      </c>
    </row>
    <row r="12" spans="1:6" ht="15.75">
      <c r="A12" s="1261">
        <f>1</f>
        <v>1</v>
      </c>
      <c r="B12" s="1269" t="s">
        <v>783</v>
      </c>
      <c r="C12" s="1270"/>
      <c r="D12" s="1261"/>
    </row>
    <row r="13" spans="1:6" ht="15.75">
      <c r="A13" s="1261"/>
      <c r="B13" s="1269"/>
      <c r="C13" s="1270"/>
      <c r="D13" s="1261"/>
    </row>
    <row r="14" spans="1:6" ht="15.75">
      <c r="A14" s="1261"/>
      <c r="B14" s="1271"/>
      <c r="C14" s="1271"/>
      <c r="D14" s="1271"/>
    </row>
    <row r="15" spans="1:6" ht="15.75">
      <c r="A15" s="1261">
        <f>A12+1</f>
        <v>2</v>
      </c>
      <c r="B15" s="1272" t="s">
        <v>784</v>
      </c>
      <c r="C15" s="1273"/>
      <c r="D15" s="1274"/>
    </row>
    <row r="16" spans="1:6" ht="15.75">
      <c r="A16" s="1261">
        <f t="shared" ref="A16:A23" si="0">+A15+1</f>
        <v>3</v>
      </c>
      <c r="B16" s="1275" t="s">
        <v>785</v>
      </c>
      <c r="C16" s="1275"/>
      <c r="D16" s="1466">
        <f>789694-146018568</f>
        <v>-145228874</v>
      </c>
      <c r="F16" s="1276"/>
    </row>
    <row r="17" spans="1:6" ht="15.75">
      <c r="A17" s="1261">
        <f t="shared" si="0"/>
        <v>4</v>
      </c>
      <c r="B17" s="1275" t="s">
        <v>786</v>
      </c>
      <c r="C17" s="1275"/>
      <c r="D17" s="1277">
        <v>0</v>
      </c>
      <c r="F17" s="1276"/>
    </row>
    <row r="18" spans="1:6" ht="15.75">
      <c r="A18" s="1261">
        <f t="shared" si="0"/>
        <v>5</v>
      </c>
      <c r="B18" s="1275" t="s">
        <v>787</v>
      </c>
      <c r="C18" s="1275"/>
      <c r="D18" s="1278">
        <f>+D16-D17</f>
        <v>-145228874</v>
      </c>
    </row>
    <row r="19" spans="1:6" ht="15.75">
      <c r="A19" s="1261">
        <f t="shared" si="0"/>
        <v>6</v>
      </c>
      <c r="B19" s="1275" t="s">
        <v>788</v>
      </c>
      <c r="C19" s="1275"/>
      <c r="D19" s="1466">
        <v>1538155246.0699928</v>
      </c>
    </row>
    <row r="20" spans="1:6" ht="15.75">
      <c r="A20" s="1261">
        <f t="shared" si="0"/>
        <v>7</v>
      </c>
      <c r="B20" s="1275" t="s">
        <v>789</v>
      </c>
      <c r="C20" s="1275"/>
      <c r="D20" s="1279">
        <f>+D18/D19</f>
        <v>-9.4417565698301079E-2</v>
      </c>
    </row>
    <row r="21" spans="1:6" ht="15.75">
      <c r="A21" s="1261">
        <f t="shared" si="0"/>
        <v>8</v>
      </c>
      <c r="B21" s="1275" t="s">
        <v>790</v>
      </c>
      <c r="C21" s="1275"/>
      <c r="D21" s="1324">
        <v>-4.2999999999999997E-2</v>
      </c>
      <c r="E21" s="1280"/>
    </row>
    <row r="22" spans="1:6" ht="15.75">
      <c r="A22" s="1261">
        <f t="shared" si="0"/>
        <v>9</v>
      </c>
      <c r="B22" s="1275" t="s">
        <v>791</v>
      </c>
      <c r="C22" s="1275"/>
      <c r="D22" s="1281">
        <v>9319625.8688609786</v>
      </c>
    </row>
    <row r="23" spans="1:6" ht="15.75">
      <c r="A23" s="1261">
        <f t="shared" si="0"/>
        <v>10</v>
      </c>
      <c r="B23" s="1275" t="str">
        <f>"Allowable TransCo PBOP Expense for current year (Ln "&amp;A21&amp;" * Ln "&amp;A22&amp;")"</f>
        <v>Allowable TransCo PBOP Expense for current year (Ln 8 * Ln 9)</v>
      </c>
      <c r="C23" s="1275"/>
      <c r="D23" s="1282">
        <f>+D21*D22</f>
        <v>-400743.91236102203</v>
      </c>
    </row>
    <row r="24" spans="1:6" ht="15.75">
      <c r="A24" s="1261"/>
      <c r="B24" s="1275"/>
      <c r="C24" s="1275"/>
      <c r="D24" s="1282"/>
    </row>
    <row r="25" spans="1:6" ht="15.75">
      <c r="A25" s="1261"/>
      <c r="B25" s="1275"/>
      <c r="C25" s="1275"/>
      <c r="D25" s="1282"/>
    </row>
    <row r="26" spans="1:6" ht="15.75">
      <c r="A26" s="1261">
        <f>+A23+1</f>
        <v>11</v>
      </c>
      <c r="B26" s="1283" t="s">
        <v>792</v>
      </c>
      <c r="C26" s="1275"/>
      <c r="D26" s="1284">
        <v>0</v>
      </c>
    </row>
    <row r="27" spans="1:6" ht="15.75">
      <c r="A27" s="1261">
        <f>+A26+1</f>
        <v>12</v>
      </c>
      <c r="B27" s="1285" t="s">
        <v>793</v>
      </c>
      <c r="C27" s="1275"/>
      <c r="D27" s="1284">
        <v>0</v>
      </c>
    </row>
    <row r="28" spans="1:6" ht="15.75">
      <c r="A28" s="1261">
        <f>+A27+1</f>
        <v>13</v>
      </c>
      <c r="B28" s="1285" t="s">
        <v>794</v>
      </c>
      <c r="C28" s="1275"/>
      <c r="D28" s="1284">
        <v>0</v>
      </c>
    </row>
    <row r="29" spans="1:6" ht="16.5" thickBot="1">
      <c r="A29" s="1286">
        <f>+A28+1</f>
        <v>14</v>
      </c>
      <c r="B29" s="1287" t="s">
        <v>795</v>
      </c>
      <c r="C29" s="1288"/>
      <c r="D29" s="1289">
        <v>-1337365.9842845332</v>
      </c>
    </row>
    <row r="30" spans="1:6" ht="15.75">
      <c r="A30" s="1261">
        <f>+A29+1</f>
        <v>15</v>
      </c>
      <c r="B30" s="1271" t="s">
        <v>796</v>
      </c>
      <c r="C30" s="1271" t="str">
        <f>"(Sum Lines "&amp;A26&amp;"-"&amp;A29&amp;")"</f>
        <v>(Sum Lines 11-14)</v>
      </c>
      <c r="D30" s="1290">
        <f>SUM(D26:D29)</f>
        <v>-1337365.9842845332</v>
      </c>
    </row>
    <row r="31" spans="1:6" ht="15.75">
      <c r="A31" s="1261"/>
      <c r="B31" s="1271"/>
      <c r="C31" s="1271"/>
      <c r="D31" s="1290"/>
    </row>
    <row r="32" spans="1:6" ht="15.75">
      <c r="A32" s="1261"/>
      <c r="B32" s="1271"/>
      <c r="C32" s="1271"/>
      <c r="D32" s="1290"/>
    </row>
    <row r="33" spans="1:4" s="1292" customFormat="1" ht="15.75">
      <c r="A33" s="1261">
        <f>A30+1</f>
        <v>16</v>
      </c>
      <c r="B33" s="1271" t="s">
        <v>797</v>
      </c>
      <c r="C33" s="1271" t="str">
        <f>"Line "&amp;A23&amp;" less Line "&amp;A30&amp;""</f>
        <v>Line 10 less Line 15</v>
      </c>
      <c r="D33" s="1291">
        <f>D23-D30</f>
        <v>936622.0719235111</v>
      </c>
    </row>
    <row r="34" spans="1:4" s="1292" customFormat="1" ht="15.75">
      <c r="A34" s="1261"/>
      <c r="B34" s="1271"/>
      <c r="C34" s="1271"/>
      <c r="D34" s="1291"/>
    </row>
    <row r="35" spans="1:4" ht="15.75">
      <c r="A35" s="1285" t="s">
        <v>798</v>
      </c>
    </row>
    <row r="37" spans="1:4" ht="387.75" customHeight="1">
      <c r="A37" s="1583" t="s">
        <v>799</v>
      </c>
      <c r="B37" s="1583"/>
      <c r="C37" s="1583"/>
      <c r="D37" s="1583"/>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37"/>
  <sheetViews>
    <sheetView defaultGridColor="0" view="pageBreakPreview" colorId="22" zoomScale="60" zoomScaleNormal="70" workbookViewId="0">
      <selection activeCell="B17" sqref="B17"/>
    </sheetView>
  </sheetViews>
  <sheetFormatPr defaultColWidth="14.7109375" defaultRowHeight="15"/>
  <cols>
    <col min="1" max="1" width="5.7109375" style="852" customWidth="1"/>
    <col min="2" max="2" width="42.5703125" style="852" customWidth="1"/>
    <col min="3" max="4" width="18.28515625" style="852" bestFit="1" customWidth="1"/>
    <col min="5" max="5" width="18" style="852" customWidth="1"/>
    <col min="6" max="7" width="16.28515625" style="852" bestFit="1" customWidth="1"/>
    <col min="8" max="8" width="14.7109375" style="852" customWidth="1"/>
    <col min="9" max="16384" width="14.7109375" style="852"/>
  </cols>
  <sheetData>
    <row r="1" spans="1:7" ht="15.75">
      <c r="A1" s="995" t="s">
        <v>416</v>
      </c>
    </row>
    <row r="2" spans="1:7" ht="15.75">
      <c r="A2" s="995" t="s">
        <v>416</v>
      </c>
    </row>
    <row r="3" spans="1:7" ht="19.5">
      <c r="A3" s="852" t="s">
        <v>416</v>
      </c>
      <c r="B3" s="1588" t="str">
        <f>TCOS!$F$5</f>
        <v>AEPTCo subsidiaries in PJM</v>
      </c>
      <c r="C3" s="1588"/>
      <c r="D3" s="1588"/>
      <c r="E3" s="1588"/>
      <c r="F3" s="851"/>
      <c r="G3" s="851"/>
    </row>
    <row r="4" spans="1:7" ht="19.5">
      <c r="B4" s="1588" t="s">
        <v>226</v>
      </c>
      <c r="C4" s="1588"/>
      <c r="D4" s="1588"/>
      <c r="E4" s="1588"/>
      <c r="F4" s="851"/>
      <c r="G4" s="851"/>
    </row>
    <row r="5" spans="1:7" ht="19.5">
      <c r="B5" s="1588" t="s">
        <v>227</v>
      </c>
      <c r="C5" s="1588"/>
      <c r="D5" s="1588"/>
      <c r="E5" s="1588"/>
      <c r="F5" s="851"/>
      <c r="G5" s="851"/>
    </row>
    <row r="6" spans="1:7" ht="19.5">
      <c r="B6" s="1588" t="s">
        <v>228</v>
      </c>
      <c r="C6" s="1588"/>
      <c r="D6" s="1588"/>
      <c r="E6" s="1588"/>
      <c r="F6" s="851"/>
      <c r="G6" s="851"/>
    </row>
    <row r="7" spans="1:7" ht="19.5">
      <c r="B7" s="1589" t="s">
        <v>1033</v>
      </c>
      <c r="C7" s="1589"/>
      <c r="D7" s="1589"/>
      <c r="E7" s="1589"/>
      <c r="F7" s="851"/>
      <c r="G7" s="851"/>
    </row>
    <row r="8" spans="1:7" ht="19.5">
      <c r="B8" s="1588"/>
      <c r="C8" s="1588"/>
      <c r="D8" s="1588"/>
      <c r="E8" s="1588"/>
      <c r="F8" s="851"/>
      <c r="G8" s="851"/>
    </row>
    <row r="9" spans="1:7" ht="19.5">
      <c r="B9" s="1590" t="str">
        <f>TCOS!F9</f>
        <v>AEP Indiana Michigan Transmission Company</v>
      </c>
      <c r="C9" s="1495"/>
      <c r="D9" s="1495"/>
      <c r="E9" s="1495"/>
      <c r="F9" s="851"/>
      <c r="G9" s="851"/>
    </row>
    <row r="11" spans="1:7">
      <c r="B11" s="853"/>
      <c r="C11" s="853"/>
      <c r="D11" s="854"/>
    </row>
    <row r="12" spans="1:7" ht="15" customHeight="1">
      <c r="B12" s="853"/>
      <c r="C12" s="853"/>
      <c r="D12" s="854"/>
    </row>
    <row r="13" spans="1:7" ht="15.75">
      <c r="B13" s="853"/>
      <c r="C13" s="855" t="s">
        <v>35</v>
      </c>
      <c r="D13" s="855" t="s">
        <v>37</v>
      </c>
    </row>
    <row r="14" spans="1:7" ht="16.5" thickBot="1">
      <c r="B14" s="854"/>
      <c r="C14" s="855" t="s">
        <v>36</v>
      </c>
      <c r="D14" s="856" t="s">
        <v>297</v>
      </c>
    </row>
    <row r="15" spans="1:7">
      <c r="B15" s="857" t="s">
        <v>38</v>
      </c>
      <c r="C15" s="858"/>
      <c r="D15" s="131"/>
    </row>
    <row r="16" spans="1:7">
      <c r="B16" s="859"/>
      <c r="C16" s="860"/>
      <c r="D16" s="132"/>
    </row>
    <row r="17" spans="2:5">
      <c r="B17" s="861" t="s">
        <v>56</v>
      </c>
      <c r="C17" s="153">
        <v>350.1</v>
      </c>
      <c r="D17" s="140">
        <v>1.66E-2</v>
      </c>
      <c r="E17" s="862"/>
    </row>
    <row r="18" spans="2:5">
      <c r="B18" s="863" t="s">
        <v>39</v>
      </c>
      <c r="C18" s="153">
        <v>352</v>
      </c>
      <c r="D18" s="140">
        <v>1.77E-2</v>
      </c>
      <c r="E18" s="140"/>
    </row>
    <row r="19" spans="2:5">
      <c r="B19" s="863" t="s">
        <v>40</v>
      </c>
      <c r="C19" s="153">
        <v>353</v>
      </c>
      <c r="D19" s="140">
        <v>2.4299999999999999E-2</v>
      </c>
      <c r="E19" s="862"/>
    </row>
    <row r="20" spans="2:5">
      <c r="B20" s="863" t="s">
        <v>41</v>
      </c>
      <c r="C20" s="153">
        <v>354</v>
      </c>
      <c r="D20" s="140">
        <v>2.5700000000000001E-2</v>
      </c>
      <c r="E20" s="862"/>
    </row>
    <row r="21" spans="2:5">
      <c r="B21" s="863" t="s">
        <v>42</v>
      </c>
      <c r="C21" s="153">
        <v>355</v>
      </c>
      <c r="D21" s="140">
        <v>3.1899999999999998E-2</v>
      </c>
      <c r="E21" s="140"/>
    </row>
    <row r="22" spans="2:5">
      <c r="B22" s="863" t="s">
        <v>43</v>
      </c>
      <c r="C22" s="153">
        <v>356</v>
      </c>
      <c r="D22" s="140">
        <v>2.35E-2</v>
      </c>
      <c r="E22" s="864"/>
    </row>
    <row r="23" spans="2:5">
      <c r="B23" s="863" t="s">
        <v>44</v>
      </c>
      <c r="C23" s="153">
        <v>357</v>
      </c>
      <c r="D23" s="140">
        <v>2.3E-2</v>
      </c>
      <c r="E23" s="862"/>
    </row>
    <row r="24" spans="2:5">
      <c r="B24" s="863" t="s">
        <v>45</v>
      </c>
      <c r="C24" s="153">
        <v>358</v>
      </c>
      <c r="D24" s="140">
        <v>1.9300000000000001E-2</v>
      </c>
      <c r="E24" s="862"/>
    </row>
    <row r="25" spans="2:5">
      <c r="B25" s="862"/>
      <c r="C25" s="862"/>
      <c r="D25" s="862"/>
      <c r="E25" s="862"/>
    </row>
    <row r="26" spans="2:5" ht="64.900000000000006" customHeight="1">
      <c r="B26" s="1591" t="s">
        <v>829</v>
      </c>
      <c r="C26" s="1592"/>
      <c r="D26" s="1592"/>
      <c r="E26" s="1592"/>
    </row>
    <row r="27" spans="2:5">
      <c r="B27" s="865"/>
      <c r="C27" s="866"/>
      <c r="D27" s="866"/>
      <c r="E27" s="866"/>
    </row>
    <row r="28" spans="2:5" ht="15.75">
      <c r="B28" s="1310" t="s">
        <v>74</v>
      </c>
      <c r="C28" s="1311" t="s">
        <v>830</v>
      </c>
      <c r="D28" s="1312" t="s">
        <v>547</v>
      </c>
      <c r="E28" s="867"/>
    </row>
    <row r="29" spans="2:5">
      <c r="B29" s="868" t="s">
        <v>546</v>
      </c>
      <c r="C29" s="869">
        <v>3055969085</v>
      </c>
      <c r="D29" s="1313">
        <f>C29</f>
        <v>3055969085</v>
      </c>
      <c r="E29" s="870"/>
    </row>
    <row r="30" spans="2:5">
      <c r="B30" s="868" t="s">
        <v>545</v>
      </c>
      <c r="C30" s="869">
        <v>2705758568</v>
      </c>
      <c r="D30" s="1313">
        <f>C30</f>
        <v>2705758568</v>
      </c>
      <c r="E30" s="870"/>
    </row>
    <row r="31" spans="2:5">
      <c r="B31" s="868" t="s">
        <v>232</v>
      </c>
      <c r="C31" s="869">
        <f>AVERAGE(C29:C30)</f>
        <v>2880863826.5</v>
      </c>
      <c r="D31" s="1313">
        <f>C31</f>
        <v>2880863826.5</v>
      </c>
      <c r="E31" s="870"/>
    </row>
    <row r="32" spans="2:5">
      <c r="B32" s="871" t="s">
        <v>548</v>
      </c>
      <c r="C32" s="1314">
        <v>74085653</v>
      </c>
      <c r="D32" s="1313">
        <f>C32</f>
        <v>74085653</v>
      </c>
      <c r="E32" s="870"/>
    </row>
    <row r="33" spans="2:5" ht="15.75">
      <c r="B33" s="1315" t="s">
        <v>46</v>
      </c>
      <c r="C33" s="1316" t="s">
        <v>416</v>
      </c>
      <c r="D33" s="1317">
        <f>D32/D31</f>
        <v>2.5716471677180122E-2</v>
      </c>
      <c r="E33" s="872"/>
    </row>
    <row r="34" spans="2:5">
      <c r="B34" s="873"/>
      <c r="C34" s="874"/>
      <c r="D34" s="873"/>
      <c r="E34" s="873"/>
    </row>
    <row r="35" spans="2:5">
      <c r="B35" s="1586" t="s">
        <v>1034</v>
      </c>
      <c r="C35" s="1587"/>
      <c r="D35" s="1587"/>
      <c r="E35" s="1587"/>
    </row>
    <row r="36" spans="2:5">
      <c r="B36" s="1587"/>
      <c r="C36" s="1587"/>
      <c r="D36" s="1587"/>
      <c r="E36" s="1587"/>
    </row>
    <row r="37" spans="2:5" ht="91.9" customHeight="1">
      <c r="B37" s="1587"/>
      <c r="C37" s="1587"/>
      <c r="D37" s="1587"/>
      <c r="E37" s="1587"/>
    </row>
  </sheetData>
  <mergeCells count="9">
    <mergeCell ref="B35:E37"/>
    <mergeCell ref="B3:E3"/>
    <mergeCell ref="B4:E4"/>
    <mergeCell ref="B5:E5"/>
    <mergeCell ref="B6:E6"/>
    <mergeCell ref="B7:E7"/>
    <mergeCell ref="B8:E8"/>
    <mergeCell ref="B9:E9"/>
    <mergeCell ref="B26:E26"/>
  </mergeCells>
  <phoneticPr fontId="4" type="noConversion"/>
  <conditionalFormatting sqref="B38:E65536 F4:G9 H3:IV10 B3:B9 C4:E8 B11:IV11 F12:IV65536">
    <cfRule type="cellIs" dxfId="3" priority="4" stopIfTrue="1" operator="lessThan">
      <formula>0</formula>
    </cfRule>
  </conditionalFormatting>
  <conditionalFormatting sqref="B12:C23 D34 B26:B27 B24:D24 B34:B35 D12:D13 E12:E25 E28:E33 D15:D23">
    <cfRule type="cellIs" dxfId="2" priority="3" stopIfTrue="1" operator="lessThan">
      <formula>0</formula>
    </cfRule>
  </conditionalFormatting>
  <conditionalFormatting sqref="B28:B32">
    <cfRule type="cellIs" dxfId="1" priority="2" stopIfTrue="1" operator="lessThan">
      <formula>0</formula>
    </cfRule>
  </conditionalFormatting>
  <conditionalFormatting sqref="C28:D33">
    <cfRule type="cellIs" dxfId="0" priority="1" stopIfTrue="1" operator="lessThan">
      <formula>0</formula>
    </cfRule>
  </conditionalFormatting>
  <pageMargins left="0.55000000000000004" right="0.55000000000000004" top="1.25" bottom="0.75" header="0.75" footer="0.27"/>
  <pageSetup scale="76"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75" customWidth="1"/>
    <col min="2" max="2" width="68.140625" style="875" customWidth="1"/>
    <col min="3" max="3" width="18.140625" style="875" customWidth="1"/>
    <col min="4" max="4" width="2.140625" style="875" customWidth="1"/>
    <col min="5" max="5" width="17.28515625" style="875" customWidth="1"/>
    <col min="6" max="6" width="16.28515625" style="875" customWidth="1"/>
    <col min="7" max="7" width="14.5703125" style="875" customWidth="1"/>
    <col min="8" max="8" width="17.5703125" style="875" customWidth="1"/>
    <col min="9" max="9" width="14.42578125" style="875" customWidth="1"/>
    <col min="10" max="10" width="15.7109375" style="875" customWidth="1"/>
    <col min="11" max="16384" width="9.140625" style="875"/>
  </cols>
  <sheetData>
    <row r="1" spans="1:10" ht="15.75">
      <c r="A1" s="995" t="s">
        <v>416</v>
      </c>
    </row>
    <row r="2" spans="1:10" ht="15.75">
      <c r="A2" s="995" t="s">
        <v>416</v>
      </c>
    </row>
    <row r="3" spans="1:10">
      <c r="A3" s="1594" t="s">
        <v>515</v>
      </c>
      <c r="B3" s="1594"/>
      <c r="C3" s="1594"/>
      <c r="D3" s="1594"/>
      <c r="E3" s="1594"/>
      <c r="F3" s="1594"/>
      <c r="G3" s="1594"/>
      <c r="H3" s="1594"/>
      <c r="I3" s="1594"/>
      <c r="J3" s="1594"/>
    </row>
    <row r="4" spans="1:10">
      <c r="A4" s="1594" t="str">
        <f>"Consolidation of Operating Companies' Capital Structure @ December 31, "&amp;TCOS!L4&amp;""</f>
        <v>Consolidation of Operating Companies' Capital Structure @ December 31, 2022</v>
      </c>
      <c r="B4" s="1594"/>
      <c r="C4" s="1594"/>
      <c r="D4" s="1594"/>
      <c r="E4" s="1594"/>
      <c r="F4" s="1594"/>
      <c r="G4" s="1594"/>
      <c r="H4" s="1594"/>
      <c r="I4" s="1594"/>
      <c r="J4" s="1594"/>
    </row>
    <row r="5" spans="1:10">
      <c r="A5" s="1594" t="s">
        <v>258</v>
      </c>
      <c r="B5" s="1594"/>
      <c r="C5" s="1594"/>
      <c r="D5" s="1594"/>
      <c r="E5" s="1594"/>
      <c r="F5" s="1594"/>
      <c r="G5" s="1594"/>
      <c r="H5" s="1594"/>
      <c r="I5" s="1594"/>
      <c r="J5" s="1594"/>
    </row>
    <row r="7" spans="1:10" ht="76.5">
      <c r="A7" s="875" t="s">
        <v>469</v>
      </c>
      <c r="C7" s="876" t="s">
        <v>516</v>
      </c>
      <c r="D7" s="876"/>
      <c r="E7" s="876" t="s">
        <v>517</v>
      </c>
      <c r="F7" s="876" t="s">
        <v>518</v>
      </c>
      <c r="G7" s="876" t="s">
        <v>519</v>
      </c>
      <c r="H7" s="876" t="s">
        <v>520</v>
      </c>
      <c r="I7" s="876" t="s">
        <v>521</v>
      </c>
      <c r="J7" s="876" t="s">
        <v>522</v>
      </c>
    </row>
    <row r="8" spans="1:10" ht="15">
      <c r="A8" s="837" t="s">
        <v>523</v>
      </c>
    </row>
    <row r="9" spans="1:10">
      <c r="A9" s="875">
        <v>1</v>
      </c>
      <c r="B9" s="841" t="s">
        <v>348</v>
      </c>
      <c r="C9" s="844"/>
      <c r="D9" s="844"/>
      <c r="E9" s="844"/>
      <c r="F9" s="844"/>
      <c r="G9" s="844"/>
      <c r="H9" s="844"/>
      <c r="I9" s="844"/>
      <c r="J9" s="824">
        <f>SUM(C9:I9)</f>
        <v>0</v>
      </c>
    </row>
    <row r="10" spans="1:10">
      <c r="A10" s="875">
        <f>A9+1</f>
        <v>2</v>
      </c>
      <c r="B10" s="841" t="s">
        <v>349</v>
      </c>
      <c r="C10" s="844"/>
      <c r="D10" s="844"/>
      <c r="E10" s="844"/>
      <c r="F10" s="844"/>
      <c r="G10" s="844"/>
      <c r="H10" s="844"/>
      <c r="I10" s="844"/>
      <c r="J10" s="824">
        <f>SUM(C10:I10)</f>
        <v>0</v>
      </c>
    </row>
    <row r="11" spans="1:10">
      <c r="A11" s="875">
        <f>A10+1</f>
        <v>3</v>
      </c>
      <c r="B11" s="842" t="s">
        <v>25</v>
      </c>
      <c r="C11" s="844"/>
      <c r="D11" s="844"/>
      <c r="E11" s="844"/>
      <c r="F11" s="844"/>
      <c r="G11" s="844"/>
      <c r="H11" s="844"/>
      <c r="I11" s="844"/>
      <c r="J11" s="824">
        <f>SUM(C11:I11)</f>
        <v>0</v>
      </c>
    </row>
    <row r="12" spans="1:10">
      <c r="A12" s="875">
        <f>A11+1</f>
        <v>4</v>
      </c>
      <c r="B12" s="842" t="s">
        <v>19</v>
      </c>
      <c r="C12" s="844"/>
      <c r="D12" s="844"/>
      <c r="E12" s="844"/>
      <c r="F12" s="844"/>
      <c r="G12" s="844"/>
      <c r="H12" s="844"/>
      <c r="I12" s="844"/>
      <c r="J12" s="824">
        <f>SUM(C12:I12)</f>
        <v>0</v>
      </c>
    </row>
    <row r="13" spans="1:10">
      <c r="A13" s="875">
        <f>A12+1</f>
        <v>5</v>
      </c>
      <c r="B13" s="842" t="str">
        <f>"Less: Fair Value Hedges (See Note on Ln "&amp;A16&amp;" below)"</f>
        <v>Less: Fair Value Hedges (See Note on Ln 7 below)</v>
      </c>
      <c r="C13" s="147"/>
      <c r="D13" s="147"/>
      <c r="E13" s="147"/>
      <c r="F13" s="147"/>
      <c r="G13" s="147"/>
      <c r="H13" s="147"/>
      <c r="I13" s="147"/>
      <c r="J13" s="877">
        <f>SUM(C13:I13)</f>
        <v>0</v>
      </c>
    </row>
    <row r="14" spans="1:10">
      <c r="A14" s="875">
        <f>A13+1</f>
        <v>6</v>
      </c>
      <c r="B14" s="843" t="s">
        <v>69</v>
      </c>
      <c r="C14" s="878">
        <f t="shared" ref="C14:J14" si="0">C9-C10+C11+C12-C13</f>
        <v>0</v>
      </c>
      <c r="D14" s="878"/>
      <c r="E14" s="878">
        <f t="shared" si="0"/>
        <v>0</v>
      </c>
      <c r="F14" s="878">
        <f t="shared" si="0"/>
        <v>0</v>
      </c>
      <c r="G14" s="878">
        <f t="shared" si="0"/>
        <v>0</v>
      </c>
      <c r="H14" s="878">
        <f t="shared" si="0"/>
        <v>0</v>
      </c>
      <c r="I14" s="878">
        <f t="shared" si="0"/>
        <v>0</v>
      </c>
      <c r="J14" s="878">
        <f t="shared" si="0"/>
        <v>0</v>
      </c>
    </row>
    <row r="16" spans="1:10" ht="12.75" customHeight="1">
      <c r="A16" s="875">
        <f>A14+1</f>
        <v>7</v>
      </c>
      <c r="B16" s="1593" t="s">
        <v>555</v>
      </c>
      <c r="C16" s="1593"/>
      <c r="D16" s="1593"/>
      <c r="E16" s="1593"/>
      <c r="F16" s="1593"/>
      <c r="G16" s="1593"/>
      <c r="H16" s="1593"/>
      <c r="I16" s="1593"/>
      <c r="J16" s="1593"/>
    </row>
    <row r="17" spans="1:10" ht="12.75" customHeight="1">
      <c r="B17" s="879"/>
      <c r="C17" s="879"/>
      <c r="D17" s="879"/>
      <c r="E17" s="879"/>
      <c r="F17" s="879"/>
      <c r="G17" s="879"/>
      <c r="H17" s="879"/>
      <c r="I17" s="879"/>
      <c r="J17" s="879"/>
    </row>
    <row r="18" spans="1:10" ht="15">
      <c r="A18" s="837" t="s">
        <v>524</v>
      </c>
    </row>
    <row r="19" spans="1:10">
      <c r="A19" s="875">
        <f>A16+1</f>
        <v>8</v>
      </c>
      <c r="B19" s="841" t="s">
        <v>350</v>
      </c>
      <c r="C19" s="146"/>
      <c r="D19" s="146"/>
      <c r="E19" s="146"/>
      <c r="F19" s="146"/>
      <c r="G19" s="146"/>
      <c r="H19" s="146"/>
      <c r="I19" s="146"/>
      <c r="J19" s="481">
        <f t="shared" ref="J19:J24" si="1">SUM(C19:I19)</f>
        <v>0</v>
      </c>
    </row>
    <row r="20" spans="1:10">
      <c r="A20" s="875">
        <f t="shared" ref="A20:A25" si="2">A19+1</f>
        <v>9</v>
      </c>
      <c r="B20" s="841" t="s">
        <v>343</v>
      </c>
      <c r="C20" s="146"/>
      <c r="D20" s="146"/>
      <c r="E20" s="146"/>
      <c r="F20" s="146"/>
      <c r="G20" s="146"/>
      <c r="H20" s="146"/>
      <c r="I20" s="146"/>
      <c r="J20" s="481">
        <f t="shared" si="1"/>
        <v>0</v>
      </c>
    </row>
    <row r="21" spans="1:10">
      <c r="A21" s="875">
        <f t="shared" si="2"/>
        <v>10</v>
      </c>
      <c r="B21" s="841" t="s">
        <v>344</v>
      </c>
      <c r="C21" s="146"/>
      <c r="D21" s="146"/>
      <c r="E21" s="146"/>
      <c r="F21" s="146"/>
      <c r="G21" s="146"/>
      <c r="H21" s="146"/>
      <c r="I21" s="146"/>
      <c r="J21" s="481">
        <f t="shared" si="1"/>
        <v>0</v>
      </c>
    </row>
    <row r="22" spans="1:10">
      <c r="A22" s="875">
        <f t="shared" si="2"/>
        <v>11</v>
      </c>
      <c r="B22" s="841" t="s">
        <v>345</v>
      </c>
      <c r="C22" s="844"/>
      <c r="D22" s="844"/>
      <c r="E22" s="844"/>
      <c r="F22" s="844"/>
      <c r="G22" s="844"/>
      <c r="H22" s="844"/>
      <c r="I22" s="844"/>
      <c r="J22" s="824">
        <f t="shared" si="1"/>
        <v>0</v>
      </c>
    </row>
    <row r="23" spans="1:10">
      <c r="A23" s="875">
        <f t="shared" si="2"/>
        <v>12</v>
      </c>
      <c r="B23" s="841" t="s">
        <v>346</v>
      </c>
      <c r="C23" s="844"/>
      <c r="D23" s="844"/>
      <c r="E23" s="844"/>
      <c r="F23" s="844"/>
      <c r="G23" s="844"/>
      <c r="H23" s="844"/>
      <c r="I23" s="844"/>
      <c r="J23" s="824">
        <f t="shared" si="1"/>
        <v>0</v>
      </c>
    </row>
    <row r="24" spans="1:10">
      <c r="A24" s="875">
        <f t="shared" si="2"/>
        <v>13</v>
      </c>
      <c r="B24" s="880" t="s">
        <v>525</v>
      </c>
      <c r="C24" s="147"/>
      <c r="D24" s="147"/>
      <c r="E24" s="147"/>
      <c r="F24" s="147"/>
      <c r="G24" s="147"/>
      <c r="H24" s="147"/>
      <c r="I24" s="147"/>
      <c r="J24" s="877">
        <f t="shared" si="1"/>
        <v>0</v>
      </c>
    </row>
    <row r="25" spans="1:10">
      <c r="A25" s="875">
        <f t="shared" si="2"/>
        <v>14</v>
      </c>
      <c r="B25" s="881" t="s">
        <v>70</v>
      </c>
      <c r="C25" s="882">
        <f t="shared" ref="C25:J25" si="3">C19+C20+C21-C22-C23-C24</f>
        <v>0</v>
      </c>
      <c r="D25" s="882"/>
      <c r="E25" s="882">
        <f t="shared" si="3"/>
        <v>0</v>
      </c>
      <c r="F25" s="882">
        <f t="shared" si="3"/>
        <v>0</v>
      </c>
      <c r="G25" s="882">
        <f t="shared" si="3"/>
        <v>0</v>
      </c>
      <c r="H25" s="882">
        <f t="shared" si="3"/>
        <v>0</v>
      </c>
      <c r="I25" s="882">
        <f t="shared" si="3"/>
        <v>0</v>
      </c>
      <c r="J25" s="882">
        <f t="shared" si="3"/>
        <v>0</v>
      </c>
    </row>
    <row r="27" spans="1:10" ht="15">
      <c r="A27" s="837" t="s">
        <v>526</v>
      </c>
      <c r="B27" s="883"/>
      <c r="C27" s="883"/>
      <c r="D27" s="883"/>
      <c r="E27" s="883"/>
    </row>
    <row r="28" spans="1:10">
      <c r="A28" s="875">
        <f>A25+1</f>
        <v>15</v>
      </c>
      <c r="B28" s="840" t="s">
        <v>527</v>
      </c>
      <c r="C28" s="845"/>
      <c r="D28" s="904"/>
      <c r="E28" s="905"/>
      <c r="F28" s="904"/>
      <c r="G28" s="904"/>
      <c r="H28" s="845"/>
      <c r="I28" s="904"/>
      <c r="J28" s="884"/>
    </row>
    <row r="29" spans="1:10">
      <c r="A29" s="875">
        <f>A28+1</f>
        <v>16</v>
      </c>
      <c r="B29" s="840" t="s">
        <v>528</v>
      </c>
      <c r="C29" s="846"/>
      <c r="D29" s="906"/>
      <c r="E29" s="846"/>
      <c r="F29" s="906"/>
      <c r="G29" s="906"/>
      <c r="H29" s="846"/>
      <c r="I29" s="906"/>
      <c r="J29" s="885"/>
    </row>
    <row r="30" spans="1:10">
      <c r="A30" s="875">
        <f>A29+1</f>
        <v>17</v>
      </c>
      <c r="B30" s="840" t="s">
        <v>529</v>
      </c>
      <c r="C30" s="146"/>
      <c r="D30" s="907"/>
      <c r="E30" s="146"/>
      <c r="F30" s="907"/>
      <c r="G30" s="907"/>
      <c r="H30" s="146"/>
      <c r="I30" s="907"/>
    </row>
    <row r="31" spans="1:10">
      <c r="A31" s="875">
        <f>A30+1</f>
        <v>18</v>
      </c>
      <c r="B31" s="840" t="str">
        <f>"Monetary Value (Ln "&amp;A29&amp;" * Ln "&amp;A30&amp;")"</f>
        <v>Monetary Value (Ln 16 * Ln 17)</v>
      </c>
      <c r="C31" s="480">
        <f t="shared" ref="C31:I31" si="4">C29*C30</f>
        <v>0</v>
      </c>
      <c r="D31" s="480"/>
      <c r="E31" s="480">
        <f t="shared" si="4"/>
        <v>0</v>
      </c>
      <c r="F31" s="480">
        <f t="shared" si="4"/>
        <v>0</v>
      </c>
      <c r="G31" s="480">
        <f t="shared" si="4"/>
        <v>0</v>
      </c>
      <c r="H31" s="480">
        <f t="shared" si="4"/>
        <v>0</v>
      </c>
      <c r="I31" s="480">
        <f t="shared" si="4"/>
        <v>0</v>
      </c>
      <c r="J31" s="882">
        <f>SUM(C31:I31)</f>
        <v>0</v>
      </c>
    </row>
    <row r="32" spans="1:10">
      <c r="A32" s="875">
        <f>A31+1</f>
        <v>19</v>
      </c>
      <c r="B32" s="840" t="str">
        <f>"Dividend Amount (Ln "&amp;A28&amp;" * Ln "&amp;A31&amp;")"</f>
        <v>Dividend Amount (Ln 15 * Ln 18)</v>
      </c>
      <c r="C32" s="480">
        <f t="shared" ref="C32:I32" si="5">C31*C28</f>
        <v>0</v>
      </c>
      <c r="D32" s="480"/>
      <c r="E32" s="480">
        <f t="shared" si="5"/>
        <v>0</v>
      </c>
      <c r="F32" s="480">
        <f t="shared" si="5"/>
        <v>0</v>
      </c>
      <c r="G32" s="480">
        <f t="shared" si="5"/>
        <v>0</v>
      </c>
      <c r="H32" s="480">
        <f t="shared" si="5"/>
        <v>0</v>
      </c>
      <c r="I32" s="480">
        <f t="shared" si="5"/>
        <v>0</v>
      </c>
      <c r="J32" s="882">
        <f>SUM(C32:I32)</f>
        <v>0</v>
      </c>
    </row>
    <row r="34" spans="1:10">
      <c r="A34" s="875">
        <f>A32+1</f>
        <v>20</v>
      </c>
      <c r="B34" s="840" t="s">
        <v>527</v>
      </c>
      <c r="C34" s="845"/>
      <c r="D34" s="904"/>
      <c r="E34" s="905"/>
      <c r="F34" s="904"/>
      <c r="G34" s="904"/>
      <c r="H34" s="845"/>
      <c r="I34" s="904"/>
    </row>
    <row r="35" spans="1:10">
      <c r="A35" s="875">
        <f>A34+1</f>
        <v>21</v>
      </c>
      <c r="B35" s="840" t="s">
        <v>528</v>
      </c>
      <c r="C35" s="846"/>
      <c r="D35" s="906"/>
      <c r="E35" s="846"/>
      <c r="F35" s="906"/>
      <c r="G35" s="906"/>
      <c r="H35" s="846"/>
      <c r="I35" s="906"/>
    </row>
    <row r="36" spans="1:10">
      <c r="A36" s="875">
        <f>A35+1</f>
        <v>22</v>
      </c>
      <c r="B36" s="840" t="s">
        <v>529</v>
      </c>
      <c r="C36" s="146"/>
      <c r="D36" s="907"/>
      <c r="E36" s="146"/>
      <c r="F36" s="907"/>
      <c r="G36" s="907"/>
      <c r="H36" s="146"/>
      <c r="I36" s="907"/>
    </row>
    <row r="37" spans="1:10">
      <c r="A37" s="875">
        <f>A36+1</f>
        <v>23</v>
      </c>
      <c r="B37" s="840" t="str">
        <f>"Monetary Value (Ln "&amp;A35&amp;" * Ln "&amp;A36&amp;")"</f>
        <v>Monetary Value (Ln 21 * Ln 22)</v>
      </c>
      <c r="C37" s="480">
        <f t="shared" ref="C37:I37" si="6">C35*C36</f>
        <v>0</v>
      </c>
      <c r="D37" s="480"/>
      <c r="E37" s="480">
        <f t="shared" si="6"/>
        <v>0</v>
      </c>
      <c r="F37" s="480">
        <f t="shared" si="6"/>
        <v>0</v>
      </c>
      <c r="G37" s="480">
        <f t="shared" si="6"/>
        <v>0</v>
      </c>
      <c r="H37" s="480">
        <f t="shared" si="6"/>
        <v>0</v>
      </c>
      <c r="I37" s="480">
        <f t="shared" si="6"/>
        <v>0</v>
      </c>
      <c r="J37" s="882">
        <f>SUM(C37:I37)</f>
        <v>0</v>
      </c>
    </row>
    <row r="38" spans="1:10">
      <c r="A38" s="875">
        <f>A37+1</f>
        <v>24</v>
      </c>
      <c r="B38" s="840" t="str">
        <f>"Dividend Amount (Ln "&amp;A34&amp;" * Ln "&amp;A37&amp;")"</f>
        <v>Dividend Amount (Ln 20 * Ln 23)</v>
      </c>
      <c r="C38" s="480">
        <f t="shared" ref="C38:I38" si="7">C37*C34</f>
        <v>0</v>
      </c>
      <c r="D38" s="480"/>
      <c r="E38" s="480">
        <f t="shared" si="7"/>
        <v>0</v>
      </c>
      <c r="F38" s="480">
        <f t="shared" si="7"/>
        <v>0</v>
      </c>
      <c r="G38" s="480">
        <f t="shared" si="7"/>
        <v>0</v>
      </c>
      <c r="H38" s="480">
        <f t="shared" si="7"/>
        <v>0</v>
      </c>
      <c r="I38" s="480">
        <f t="shared" si="7"/>
        <v>0</v>
      </c>
      <c r="J38" s="882">
        <f>SUM(C38:I38)</f>
        <v>0</v>
      </c>
    </row>
    <row r="40" spans="1:10">
      <c r="A40" s="875">
        <f>A38+1</f>
        <v>25</v>
      </c>
      <c r="B40" s="840" t="s">
        <v>527</v>
      </c>
      <c r="C40" s="845"/>
      <c r="D40" s="904"/>
      <c r="E40" s="905"/>
      <c r="F40" s="904"/>
      <c r="G40" s="904"/>
      <c r="H40" s="845"/>
      <c r="I40" s="904"/>
    </row>
    <row r="41" spans="1:10">
      <c r="A41" s="875">
        <f>A40+1</f>
        <v>26</v>
      </c>
      <c r="B41" s="840" t="s">
        <v>528</v>
      </c>
      <c r="C41" s="846"/>
      <c r="D41" s="906"/>
      <c r="E41" s="846"/>
      <c r="F41" s="906"/>
      <c r="G41" s="906"/>
      <c r="H41" s="846"/>
      <c r="I41" s="906"/>
    </row>
    <row r="42" spans="1:10">
      <c r="A42" s="875">
        <f>A41+1</f>
        <v>27</v>
      </c>
      <c r="B42" s="840" t="s">
        <v>529</v>
      </c>
      <c r="C42" s="146"/>
      <c r="D42" s="907"/>
      <c r="E42" s="146"/>
      <c r="F42" s="907"/>
      <c r="G42" s="907"/>
      <c r="H42" s="146"/>
      <c r="I42" s="907"/>
    </row>
    <row r="43" spans="1:10">
      <c r="A43" s="875">
        <f>A42+1</f>
        <v>28</v>
      </c>
      <c r="B43" s="840" t="str">
        <f>"Monetary Value (Ln "&amp;A41&amp;" * Ln "&amp;A42&amp;")"</f>
        <v>Monetary Value (Ln 26 * Ln 27)</v>
      </c>
      <c r="C43" s="480">
        <f t="shared" ref="C43:I43" si="8">C41*C42</f>
        <v>0</v>
      </c>
      <c r="D43" s="480"/>
      <c r="E43" s="480">
        <f t="shared" si="8"/>
        <v>0</v>
      </c>
      <c r="F43" s="480">
        <f t="shared" si="8"/>
        <v>0</v>
      </c>
      <c r="G43" s="480">
        <f t="shared" si="8"/>
        <v>0</v>
      </c>
      <c r="H43" s="480">
        <f t="shared" si="8"/>
        <v>0</v>
      </c>
      <c r="I43" s="480">
        <f t="shared" si="8"/>
        <v>0</v>
      </c>
      <c r="J43" s="882">
        <f>SUM(C43:I43)</f>
        <v>0</v>
      </c>
    </row>
    <row r="44" spans="1:10">
      <c r="A44" s="875">
        <f>A43+1</f>
        <v>29</v>
      </c>
      <c r="B44" s="840" t="str">
        <f>"Dividend Amount (Ln "&amp;A40&amp;" * Ln "&amp;A43&amp;")"</f>
        <v>Dividend Amount (Ln 25 * Ln 28)</v>
      </c>
      <c r="C44" s="480">
        <f t="shared" ref="C44:I44" si="9">C43*C40</f>
        <v>0</v>
      </c>
      <c r="D44" s="480"/>
      <c r="E44" s="480">
        <f t="shared" si="9"/>
        <v>0</v>
      </c>
      <c r="F44" s="480">
        <f t="shared" si="9"/>
        <v>0</v>
      </c>
      <c r="G44" s="480">
        <f t="shared" si="9"/>
        <v>0</v>
      </c>
      <c r="H44" s="480">
        <f t="shared" si="9"/>
        <v>0</v>
      </c>
      <c r="I44" s="480">
        <f t="shared" si="9"/>
        <v>0</v>
      </c>
      <c r="J44" s="882">
        <f>SUM(C44:I44)</f>
        <v>0</v>
      </c>
    </row>
    <row r="46" spans="1:10">
      <c r="A46" s="875">
        <f>A44+1</f>
        <v>30</v>
      </c>
      <c r="B46" s="840" t="s">
        <v>527</v>
      </c>
      <c r="C46" s="845"/>
      <c r="D46" s="904"/>
      <c r="E46" s="905"/>
      <c r="F46" s="904"/>
      <c r="G46" s="904"/>
      <c r="H46" s="845"/>
      <c r="I46" s="904"/>
    </row>
    <row r="47" spans="1:10">
      <c r="A47" s="875">
        <f>A46+1</f>
        <v>31</v>
      </c>
      <c r="B47" s="840" t="s">
        <v>528</v>
      </c>
      <c r="C47" s="846"/>
      <c r="D47" s="906"/>
      <c r="E47" s="846"/>
      <c r="F47" s="906"/>
      <c r="G47" s="906"/>
      <c r="H47" s="846"/>
      <c r="I47" s="906"/>
    </row>
    <row r="48" spans="1:10">
      <c r="A48" s="875">
        <f>A47+1</f>
        <v>32</v>
      </c>
      <c r="B48" s="840" t="s">
        <v>529</v>
      </c>
      <c r="C48" s="146"/>
      <c r="D48" s="907"/>
      <c r="E48" s="146"/>
      <c r="F48" s="907"/>
      <c r="G48" s="907"/>
      <c r="H48" s="146"/>
      <c r="I48" s="907"/>
    </row>
    <row r="49" spans="1:10">
      <c r="A49" s="875">
        <f>A48+1</f>
        <v>33</v>
      </c>
      <c r="B49" s="840" t="str">
        <f>"Monetary Value (Ln "&amp;A47&amp;" * Ln "&amp;A48&amp;")"</f>
        <v>Monetary Value (Ln 31 * Ln 32)</v>
      </c>
      <c r="C49" s="480">
        <f t="shared" ref="C49:I49" si="10">C47*C48</f>
        <v>0</v>
      </c>
      <c r="D49" s="480"/>
      <c r="E49" s="480">
        <f t="shared" si="10"/>
        <v>0</v>
      </c>
      <c r="F49" s="480">
        <f t="shared" si="10"/>
        <v>0</v>
      </c>
      <c r="G49" s="480">
        <f t="shared" si="10"/>
        <v>0</v>
      </c>
      <c r="H49" s="480">
        <f t="shared" si="10"/>
        <v>0</v>
      </c>
      <c r="I49" s="480">
        <f t="shared" si="10"/>
        <v>0</v>
      </c>
      <c r="J49" s="882">
        <f>SUM(C49:I49)</f>
        <v>0</v>
      </c>
    </row>
    <row r="50" spans="1:10">
      <c r="A50" s="875">
        <f>A49+1</f>
        <v>34</v>
      </c>
      <c r="B50" s="840" t="str">
        <f>"Dividend Amount (Ln "&amp;A46&amp;" * Ln "&amp;A49&amp;")"</f>
        <v>Dividend Amount (Ln 30 * Ln 33)</v>
      </c>
      <c r="C50" s="480">
        <f t="shared" ref="C50:I50" si="11">C49*C46</f>
        <v>0</v>
      </c>
      <c r="D50" s="480"/>
      <c r="E50" s="480">
        <f t="shared" si="11"/>
        <v>0</v>
      </c>
      <c r="F50" s="480">
        <f t="shared" si="11"/>
        <v>0</v>
      </c>
      <c r="G50" s="480">
        <f t="shared" si="11"/>
        <v>0</v>
      </c>
      <c r="H50" s="480">
        <f t="shared" si="11"/>
        <v>0</v>
      </c>
      <c r="I50" s="480">
        <f t="shared" si="11"/>
        <v>0</v>
      </c>
      <c r="J50" s="882">
        <f>SUM(C50:I50)</f>
        <v>0</v>
      </c>
    </row>
    <row r="51" spans="1:10">
      <c r="B51" s="840"/>
    </row>
    <row r="52" spans="1:10">
      <c r="A52" s="875">
        <f>A50+1</f>
        <v>35</v>
      </c>
      <c r="B52" s="838" t="str">
        <f>"Preferred Stock (Lns "&amp;A31&amp;", "&amp;A37&amp;", "&amp;A43&amp;","&amp;A49&amp;")"</f>
        <v>Preferred Stock (Lns 18, 23, 28,33)</v>
      </c>
      <c r="C52" s="882">
        <f t="shared" ref="C52:I53" si="12">C31+C37+C43+C49</f>
        <v>0</v>
      </c>
      <c r="D52" s="882"/>
      <c r="E52" s="882">
        <f t="shared" si="12"/>
        <v>0</v>
      </c>
      <c r="F52" s="882">
        <f t="shared" si="12"/>
        <v>0</v>
      </c>
      <c r="G52" s="882">
        <f t="shared" si="12"/>
        <v>0</v>
      </c>
      <c r="H52" s="882">
        <f t="shared" si="12"/>
        <v>0</v>
      </c>
      <c r="I52" s="882">
        <f t="shared" si="12"/>
        <v>0</v>
      </c>
      <c r="J52" s="882">
        <f>SUM(C52:I52)</f>
        <v>0</v>
      </c>
    </row>
    <row r="53" spans="1:10">
      <c r="A53" s="875">
        <f>A52+1</f>
        <v>36</v>
      </c>
      <c r="B53" s="838" t="str">
        <f>"Preferred Dividends (Lns "&amp;A32&amp;", "&amp;A38&amp;", "&amp;A44&amp;","&amp;A50&amp;")"</f>
        <v>Preferred Dividends (Lns 19, 24, 29,34)</v>
      </c>
      <c r="C53" s="882">
        <f t="shared" si="12"/>
        <v>0</v>
      </c>
      <c r="D53" s="882"/>
      <c r="E53" s="882">
        <f t="shared" si="12"/>
        <v>0</v>
      </c>
      <c r="F53" s="882">
        <f t="shared" si="12"/>
        <v>0</v>
      </c>
      <c r="G53" s="882">
        <f t="shared" si="12"/>
        <v>0</v>
      </c>
      <c r="H53" s="882">
        <f t="shared" si="12"/>
        <v>0</v>
      </c>
      <c r="I53" s="882">
        <f t="shared" si="12"/>
        <v>0</v>
      </c>
      <c r="J53" s="882">
        <f>SUM(C53:I53)</f>
        <v>0</v>
      </c>
    </row>
    <row r="54" spans="1:10">
      <c r="B54" s="886"/>
    </row>
    <row r="55" spans="1:10" ht="15">
      <c r="A55" s="837" t="s">
        <v>530</v>
      </c>
    </row>
    <row r="56" spans="1:10">
      <c r="A56" s="875">
        <f>A53+1</f>
        <v>37</v>
      </c>
      <c r="B56" s="656" t="s">
        <v>531</v>
      </c>
      <c r="C56" s="146"/>
      <c r="D56" s="146"/>
      <c r="E56" s="146"/>
      <c r="F56" s="146"/>
      <c r="G56" s="146"/>
      <c r="H56" s="146"/>
      <c r="I56" s="146"/>
      <c r="J56" s="882">
        <f>SUM(C56:I56)</f>
        <v>0</v>
      </c>
    </row>
    <row r="57" spans="1:10">
      <c r="A57" s="875">
        <f>A56+1</f>
        <v>38</v>
      </c>
      <c r="B57" s="656" t="str">
        <f>"Less: Preferred Stock (Ln "&amp;A52&amp;" Above)"</f>
        <v>Less: Preferred Stock (Ln 35 Above)</v>
      </c>
      <c r="C57" s="481">
        <f t="shared" ref="C57:I57" si="13">C52</f>
        <v>0</v>
      </c>
      <c r="D57" s="481"/>
      <c r="E57" s="481">
        <f t="shared" si="13"/>
        <v>0</v>
      </c>
      <c r="F57" s="481">
        <f t="shared" si="13"/>
        <v>0</v>
      </c>
      <c r="G57" s="481">
        <f t="shared" si="13"/>
        <v>0</v>
      </c>
      <c r="H57" s="481">
        <f t="shared" si="13"/>
        <v>0</v>
      </c>
      <c r="I57" s="481">
        <f t="shared" si="13"/>
        <v>0</v>
      </c>
      <c r="J57" s="882">
        <f>SUM(C57:I57)</f>
        <v>0</v>
      </c>
    </row>
    <row r="58" spans="1:10">
      <c r="A58" s="875">
        <f>A57+1</f>
        <v>39</v>
      </c>
      <c r="B58" s="656" t="s">
        <v>532</v>
      </c>
      <c r="C58" s="844"/>
      <c r="D58" s="844"/>
      <c r="E58" s="844"/>
      <c r="F58" s="844"/>
      <c r="G58" s="844"/>
      <c r="H58" s="844"/>
      <c r="I58" s="844"/>
      <c r="J58" s="882">
        <f>SUM(C58:I58)</f>
        <v>0</v>
      </c>
    </row>
    <row r="59" spans="1:10">
      <c r="A59" s="875">
        <f>A58+1</f>
        <v>40</v>
      </c>
      <c r="B59" s="656" t="s">
        <v>533</v>
      </c>
      <c r="C59" s="147"/>
      <c r="D59" s="147"/>
      <c r="E59" s="147"/>
      <c r="F59" s="147"/>
      <c r="G59" s="147"/>
      <c r="H59" s="147"/>
      <c r="I59" s="147"/>
      <c r="J59" s="887">
        <f>SUM(C59:I59)</f>
        <v>0</v>
      </c>
    </row>
    <row r="60" spans="1:10">
      <c r="A60" s="875">
        <f>A59+1</f>
        <v>41</v>
      </c>
      <c r="B60" s="839" t="s">
        <v>534</v>
      </c>
      <c r="C60" s="824">
        <f t="shared" ref="C60:J60" si="14">C56-C57-C58-C59</f>
        <v>0</v>
      </c>
      <c r="D60" s="824"/>
      <c r="E60" s="824">
        <f t="shared" si="14"/>
        <v>0</v>
      </c>
      <c r="F60" s="824">
        <f t="shared" si="14"/>
        <v>0</v>
      </c>
      <c r="G60" s="824">
        <f t="shared" si="14"/>
        <v>0</v>
      </c>
      <c r="H60" s="824">
        <f t="shared" si="14"/>
        <v>0</v>
      </c>
      <c r="I60" s="824">
        <f t="shared" si="14"/>
        <v>0</v>
      </c>
      <c r="J60" s="824">
        <f t="shared" si="14"/>
        <v>0</v>
      </c>
    </row>
    <row r="62" spans="1:10" ht="15">
      <c r="A62" s="837" t="s">
        <v>535</v>
      </c>
    </row>
    <row r="63" spans="1:10">
      <c r="A63" s="875">
        <f>A60+1</f>
        <v>42</v>
      </c>
      <c r="B63" s="460" t="str">
        <f>"Long Term Debt (Ln "&amp;A14&amp;" Above)"</f>
        <v>Long Term Debt (Ln 6 Above)</v>
      </c>
      <c r="C63" s="882">
        <f t="shared" ref="C63:J63" si="15">C14</f>
        <v>0</v>
      </c>
      <c r="D63" s="882"/>
      <c r="E63" s="882">
        <f t="shared" si="15"/>
        <v>0</v>
      </c>
      <c r="F63" s="882">
        <f t="shared" si="15"/>
        <v>0</v>
      </c>
      <c r="G63" s="882">
        <f t="shared" si="15"/>
        <v>0</v>
      </c>
      <c r="H63" s="882">
        <f t="shared" si="15"/>
        <v>0</v>
      </c>
      <c r="I63" s="882">
        <f t="shared" si="15"/>
        <v>0</v>
      </c>
      <c r="J63" s="882">
        <f t="shared" si="15"/>
        <v>0</v>
      </c>
    </row>
    <row r="64" spans="1:10">
      <c r="A64" s="875">
        <f>A63+1</f>
        <v>43</v>
      </c>
      <c r="B64" s="460" t="str">
        <f>"Preferred Stock (Ln "&amp;A52&amp;" Above)"</f>
        <v>Preferred Stock (Ln 35 Above)</v>
      </c>
      <c r="C64" s="882">
        <f t="shared" ref="C64:J64" si="16">C52</f>
        <v>0</v>
      </c>
      <c r="D64" s="882"/>
      <c r="E64" s="882">
        <f t="shared" si="16"/>
        <v>0</v>
      </c>
      <c r="F64" s="882">
        <f t="shared" si="16"/>
        <v>0</v>
      </c>
      <c r="G64" s="882">
        <f t="shared" si="16"/>
        <v>0</v>
      </c>
      <c r="H64" s="882">
        <f t="shared" si="16"/>
        <v>0</v>
      </c>
      <c r="I64" s="882">
        <f t="shared" si="16"/>
        <v>0</v>
      </c>
      <c r="J64" s="882">
        <f t="shared" si="16"/>
        <v>0</v>
      </c>
    </row>
    <row r="65" spans="1:10">
      <c r="A65" s="875">
        <f>A64+1</f>
        <v>44</v>
      </c>
      <c r="B65" s="460" t="str">
        <f>"Common Equity (Ln "&amp;A60&amp;" Above)"</f>
        <v>Common Equity (Ln 41 Above)</v>
      </c>
      <c r="C65" s="887">
        <f t="shared" ref="C65:J65" si="17">C60</f>
        <v>0</v>
      </c>
      <c r="D65" s="887"/>
      <c r="E65" s="887">
        <f t="shared" si="17"/>
        <v>0</v>
      </c>
      <c r="F65" s="887">
        <f t="shared" si="17"/>
        <v>0</v>
      </c>
      <c r="G65" s="887">
        <f t="shared" si="17"/>
        <v>0</v>
      </c>
      <c r="H65" s="887">
        <f t="shared" si="17"/>
        <v>0</v>
      </c>
      <c r="I65" s="887">
        <f t="shared" si="17"/>
        <v>0</v>
      </c>
      <c r="J65" s="887">
        <f t="shared" si="17"/>
        <v>0</v>
      </c>
    </row>
    <row r="66" spans="1:10">
      <c r="A66" s="875">
        <f>A65+1</f>
        <v>45</v>
      </c>
      <c r="B66" s="875" t="s">
        <v>536</v>
      </c>
      <c r="C66" s="882">
        <f t="shared" ref="C66:J66" si="18">SUM(C63:C65)</f>
        <v>0</v>
      </c>
      <c r="D66" s="882"/>
      <c r="E66" s="882">
        <f t="shared" si="18"/>
        <v>0</v>
      </c>
      <c r="F66" s="882">
        <f t="shared" si="18"/>
        <v>0</v>
      </c>
      <c r="G66" s="882">
        <f t="shared" si="18"/>
        <v>0</v>
      </c>
      <c r="H66" s="882">
        <f t="shared" si="18"/>
        <v>0</v>
      </c>
      <c r="I66" s="882">
        <f t="shared" si="18"/>
        <v>0</v>
      </c>
      <c r="J66" s="882">
        <f t="shared" si="18"/>
        <v>0</v>
      </c>
    </row>
    <row r="68" spans="1:10">
      <c r="A68" s="875">
        <f>A66+1</f>
        <v>46</v>
      </c>
      <c r="B68" s="460" t="str">
        <f>"LTD Capital Shares (Ln "&amp;A63&amp;" / Ln "&amp;A66&amp;")"</f>
        <v>LTD Capital Shares (Ln 42 / Ln 45)</v>
      </c>
      <c r="C68" s="888" t="e">
        <f t="shared" ref="C68:J68" si="19">C63/C66</f>
        <v>#DIV/0!</v>
      </c>
      <c r="D68" s="888"/>
      <c r="E68" s="888" t="e">
        <f t="shared" si="19"/>
        <v>#DIV/0!</v>
      </c>
      <c r="F68" s="888" t="e">
        <f t="shared" si="19"/>
        <v>#DIV/0!</v>
      </c>
      <c r="G68" s="888" t="e">
        <f t="shared" si="19"/>
        <v>#DIV/0!</v>
      </c>
      <c r="H68" s="888" t="e">
        <f t="shared" si="19"/>
        <v>#DIV/0!</v>
      </c>
      <c r="I68" s="888" t="e">
        <f t="shared" si="19"/>
        <v>#DIV/0!</v>
      </c>
      <c r="J68" s="888" t="e">
        <f t="shared" si="19"/>
        <v>#DIV/0!</v>
      </c>
    </row>
    <row r="69" spans="1:10">
      <c r="A69" s="875">
        <f>A68+1</f>
        <v>47</v>
      </c>
      <c r="B69" s="460" t="str">
        <f>"Preferred Stock Capital Shares (Ln "&amp;A64&amp;" / Ln "&amp;A66&amp;")"</f>
        <v>Preferred Stock Capital Shares (Ln 43 / Ln 45)</v>
      </c>
      <c r="C69" s="888" t="e">
        <f t="shared" ref="C69:J69" si="20">C64/C66</f>
        <v>#DIV/0!</v>
      </c>
      <c r="D69" s="888"/>
      <c r="E69" s="888" t="e">
        <f t="shared" si="20"/>
        <v>#DIV/0!</v>
      </c>
      <c r="F69" s="888" t="e">
        <f t="shared" si="20"/>
        <v>#DIV/0!</v>
      </c>
      <c r="G69" s="888" t="e">
        <f t="shared" si="20"/>
        <v>#DIV/0!</v>
      </c>
      <c r="H69" s="888" t="e">
        <f t="shared" si="20"/>
        <v>#DIV/0!</v>
      </c>
      <c r="I69" s="888" t="e">
        <f t="shared" si="20"/>
        <v>#DIV/0!</v>
      </c>
      <c r="J69" s="888" t="e">
        <f t="shared" si="20"/>
        <v>#DIV/0!</v>
      </c>
    </row>
    <row r="70" spans="1:10">
      <c r="A70" s="889">
        <f>A69+1</f>
        <v>48</v>
      </c>
      <c r="B70" s="460" t="str">
        <f>"Common Equity Capital Shares (Ln "&amp;A65&amp;" / Ln "&amp;A66&amp;")"</f>
        <v>Common Equity Capital Shares (Ln 44 / Ln 45)</v>
      </c>
      <c r="C70" s="890" t="e">
        <f t="shared" ref="C70:J70" si="21">C65/C66</f>
        <v>#DIV/0!</v>
      </c>
      <c r="D70" s="890"/>
      <c r="E70" s="890" t="e">
        <f t="shared" si="21"/>
        <v>#DIV/0!</v>
      </c>
      <c r="F70" s="890" t="e">
        <f t="shared" si="21"/>
        <v>#DIV/0!</v>
      </c>
      <c r="G70" s="890" t="e">
        <f t="shared" si="21"/>
        <v>#DIV/0!</v>
      </c>
      <c r="H70" s="890" t="e">
        <f t="shared" si="21"/>
        <v>#DIV/0!</v>
      </c>
      <c r="I70" s="890" t="e">
        <f t="shared" si="21"/>
        <v>#DIV/0!</v>
      </c>
      <c r="J70" s="890" t="e">
        <f t="shared" si="21"/>
        <v>#DIV/0!</v>
      </c>
    </row>
    <row r="71" spans="1:10">
      <c r="A71" s="889"/>
      <c r="B71" s="460"/>
      <c r="C71" s="890"/>
      <c r="D71" s="890"/>
      <c r="E71" s="890"/>
      <c r="F71" s="890"/>
      <c r="G71" s="890"/>
      <c r="H71" s="890"/>
      <c r="I71" s="890"/>
      <c r="J71" s="890"/>
    </row>
    <row r="72" spans="1:10">
      <c r="A72" s="889">
        <f>A70+1</f>
        <v>49</v>
      </c>
      <c r="B72" s="838" t="s">
        <v>566</v>
      </c>
      <c r="C72" s="891"/>
      <c r="D72" s="891"/>
      <c r="E72" s="891"/>
      <c r="F72" s="891"/>
      <c r="G72" s="891"/>
      <c r="H72" s="891"/>
      <c r="I72" s="891"/>
      <c r="J72" s="891"/>
    </row>
    <row r="73" spans="1:10">
      <c r="A73" s="889"/>
      <c r="B73" s="460"/>
      <c r="C73" s="890"/>
      <c r="D73" s="890"/>
      <c r="E73" s="890"/>
      <c r="F73" s="890"/>
      <c r="G73" s="890"/>
      <c r="H73" s="890"/>
      <c r="I73" s="890"/>
      <c r="J73" s="890"/>
    </row>
    <row r="74" spans="1:10">
      <c r="A74" s="889">
        <f>A72+1</f>
        <v>50</v>
      </c>
      <c r="B74" s="838" t="s">
        <v>566</v>
      </c>
      <c r="C74" s="890"/>
      <c r="D74" s="890"/>
      <c r="E74" s="890"/>
      <c r="F74" s="890"/>
      <c r="G74" s="890"/>
      <c r="H74" s="890"/>
      <c r="I74" s="890"/>
      <c r="J74" s="890"/>
    </row>
    <row r="75" spans="1:10">
      <c r="A75" s="889">
        <f>A74+1</f>
        <v>51</v>
      </c>
      <c r="B75" s="838" t="s">
        <v>566</v>
      </c>
      <c r="C75" s="890"/>
      <c r="D75" s="890"/>
      <c r="E75" s="890"/>
      <c r="F75" s="890"/>
      <c r="G75" s="890"/>
      <c r="H75" s="890"/>
      <c r="I75" s="890"/>
      <c r="J75" s="890"/>
    </row>
    <row r="76" spans="1:10">
      <c r="A76" s="889">
        <f>A75+1</f>
        <v>52</v>
      </c>
      <c r="B76" s="838" t="s">
        <v>566</v>
      </c>
      <c r="C76" s="890"/>
      <c r="D76" s="890"/>
      <c r="E76" s="890"/>
      <c r="F76" s="890"/>
      <c r="G76" s="890"/>
      <c r="H76" s="890"/>
      <c r="I76" s="890"/>
      <c r="J76" s="890"/>
    </row>
    <row r="77" spans="1:10">
      <c r="B77" s="460"/>
      <c r="C77" s="888"/>
      <c r="D77" s="888"/>
      <c r="E77" s="888"/>
      <c r="F77" s="888"/>
      <c r="G77" s="888"/>
      <c r="H77" s="888"/>
      <c r="I77" s="888"/>
      <c r="J77" s="888"/>
    </row>
    <row r="78" spans="1:10" ht="15">
      <c r="A78" s="837" t="s">
        <v>537</v>
      </c>
    </row>
    <row r="79" spans="1:10">
      <c r="A79" s="875">
        <f>A76+1</f>
        <v>53</v>
      </c>
      <c r="B79" s="460" t="str">
        <f>"LTD Capital Cost Rate (Ln "&amp;A25&amp;" / Ln "&amp;A14&amp;")"</f>
        <v>LTD Capital Cost Rate (Ln 14 / Ln 6)</v>
      </c>
      <c r="C79" s="888" t="e">
        <f t="shared" ref="C79:J79" si="22">C25/C14</f>
        <v>#DIV/0!</v>
      </c>
      <c r="D79" s="888"/>
      <c r="E79" s="888" t="e">
        <f t="shared" si="22"/>
        <v>#DIV/0!</v>
      </c>
      <c r="F79" s="888" t="e">
        <f t="shared" si="22"/>
        <v>#DIV/0!</v>
      </c>
      <c r="G79" s="888" t="e">
        <f t="shared" si="22"/>
        <v>#DIV/0!</v>
      </c>
      <c r="H79" s="888" t="e">
        <f t="shared" si="22"/>
        <v>#DIV/0!</v>
      </c>
      <c r="I79" s="888" t="e">
        <f t="shared" si="22"/>
        <v>#DIV/0!</v>
      </c>
      <c r="J79" s="888" t="e">
        <f t="shared" si="22"/>
        <v>#DIV/0!</v>
      </c>
    </row>
    <row r="80" spans="1:10">
      <c r="A80" s="875">
        <f>A79+1</f>
        <v>54</v>
      </c>
      <c r="B80" s="460" t="str">
        <f>"Preferred Stock Capital Cost Rate (Ln "&amp;A53&amp;" / Ln "&amp;A52&amp;")"</f>
        <v>Preferred Stock Capital Cost Rate (Ln 36 / Ln 35)</v>
      </c>
      <c r="C80" s="888">
        <f t="shared" ref="C80:J80" si="23">IF(C52=0,0,C53/C52)</f>
        <v>0</v>
      </c>
      <c r="D80" s="888"/>
      <c r="E80" s="888">
        <f t="shared" si="23"/>
        <v>0</v>
      </c>
      <c r="F80" s="888">
        <f t="shared" si="23"/>
        <v>0</v>
      </c>
      <c r="G80" s="888">
        <f t="shared" si="23"/>
        <v>0</v>
      </c>
      <c r="H80" s="888">
        <f t="shared" si="23"/>
        <v>0</v>
      </c>
      <c r="I80" s="888">
        <f t="shared" si="23"/>
        <v>0</v>
      </c>
      <c r="J80" s="888">
        <f t="shared" si="23"/>
        <v>0</v>
      </c>
    </row>
    <row r="81" spans="1:10">
      <c r="A81" s="875">
        <f>A80+1</f>
        <v>55</v>
      </c>
      <c r="B81" s="460" t="s">
        <v>538</v>
      </c>
      <c r="C81" s="888">
        <v>0.1149</v>
      </c>
      <c r="D81" s="888"/>
      <c r="E81" s="888">
        <v>0.1149</v>
      </c>
      <c r="F81" s="888">
        <v>0.1149</v>
      </c>
      <c r="G81" s="888">
        <v>0.1149</v>
      </c>
      <c r="H81" s="888">
        <v>0.1149</v>
      </c>
      <c r="I81" s="888">
        <v>0.1149</v>
      </c>
      <c r="J81" s="888">
        <v>0.1149</v>
      </c>
    </row>
    <row r="83" spans="1:10" ht="15">
      <c r="A83" s="837" t="s">
        <v>539</v>
      </c>
    </row>
    <row r="84" spans="1:10">
      <c r="A84" s="875">
        <f>A81+1</f>
        <v>56</v>
      </c>
      <c r="B84" s="460" t="str">
        <f>"LTD Weighted Capital Cost Rate (Ln "&amp;A68&amp;" * Ln "&amp;A79&amp;")"</f>
        <v>LTD Weighted Capital Cost Rate (Ln 46 * Ln 53)</v>
      </c>
      <c r="C84" s="888" t="e">
        <f>C68*C79</f>
        <v>#DIV/0!</v>
      </c>
      <c r="D84" s="888"/>
      <c r="E84" s="888" t="e">
        <f t="shared" ref="E84:J84" si="24">E68*E79</f>
        <v>#DIV/0!</v>
      </c>
      <c r="F84" s="888" t="e">
        <f t="shared" si="24"/>
        <v>#DIV/0!</v>
      </c>
      <c r="G84" s="888" t="e">
        <f t="shared" si="24"/>
        <v>#DIV/0!</v>
      </c>
      <c r="H84" s="888" t="e">
        <f t="shared" si="24"/>
        <v>#DIV/0!</v>
      </c>
      <c r="I84" s="888" t="e">
        <f t="shared" si="24"/>
        <v>#DIV/0!</v>
      </c>
      <c r="J84" s="888" t="e">
        <f t="shared" si="24"/>
        <v>#DIV/0!</v>
      </c>
    </row>
    <row r="85" spans="1:10">
      <c r="A85" s="875">
        <f>A84+1</f>
        <v>57</v>
      </c>
      <c r="B85" s="460" t="str">
        <f>"Preferred Stock Capital Cost Rate (Ln "&amp;A69&amp;" * Ln "&amp;A80&amp;")"</f>
        <v>Preferred Stock Capital Cost Rate (Ln 47 * Ln 54)</v>
      </c>
      <c r="C85" s="888" t="e">
        <f>C69*C80</f>
        <v>#DIV/0!</v>
      </c>
      <c r="D85" s="888"/>
      <c r="E85" s="888" t="e">
        <f t="shared" ref="E85:J85" si="25">E69*E80</f>
        <v>#DIV/0!</v>
      </c>
      <c r="F85" s="888" t="e">
        <f t="shared" si="25"/>
        <v>#DIV/0!</v>
      </c>
      <c r="G85" s="888" t="e">
        <f t="shared" si="25"/>
        <v>#DIV/0!</v>
      </c>
      <c r="H85" s="888" t="e">
        <f t="shared" si="25"/>
        <v>#DIV/0!</v>
      </c>
      <c r="I85" s="888" t="e">
        <f t="shared" si="25"/>
        <v>#DIV/0!</v>
      </c>
      <c r="J85" s="888" t="e">
        <f t="shared" si="25"/>
        <v>#DIV/0!</v>
      </c>
    </row>
    <row r="86" spans="1:10">
      <c r="A86" s="875">
        <f>A85+1</f>
        <v>58</v>
      </c>
      <c r="B86" s="460" t="str">
        <f>"Common Equity Capital Cost Rate (Ln "&amp;A70&amp;" * Ln "&amp;A81&amp;")"</f>
        <v>Common Equity Capital Cost Rate (Ln 48 * Ln 55)</v>
      </c>
      <c r="C86" s="892" t="e">
        <f>C70*C81</f>
        <v>#DIV/0!</v>
      </c>
      <c r="D86" s="892"/>
      <c r="E86" s="892" t="e">
        <f t="shared" ref="E86:J86" si="26">E70*E81</f>
        <v>#DIV/0!</v>
      </c>
      <c r="F86" s="892" t="e">
        <f t="shared" si="26"/>
        <v>#DIV/0!</v>
      </c>
      <c r="G86" s="892" t="e">
        <f t="shared" si="26"/>
        <v>#DIV/0!</v>
      </c>
      <c r="H86" s="892" t="e">
        <f t="shared" si="26"/>
        <v>#DIV/0!</v>
      </c>
      <c r="I86" s="892" t="e">
        <f t="shared" si="26"/>
        <v>#DIV/0!</v>
      </c>
      <c r="J86" s="892" t="e">
        <f t="shared" si="26"/>
        <v>#DIV/0!</v>
      </c>
    </row>
    <row r="87" spans="1:10">
      <c r="A87" s="875">
        <f>A86+1</f>
        <v>59</v>
      </c>
      <c r="B87" s="893" t="s">
        <v>536</v>
      </c>
      <c r="C87" s="894" t="e">
        <f t="shared" ref="C87:J87" si="27">SUM(C84:C86)</f>
        <v>#DIV/0!</v>
      </c>
      <c r="D87" s="894"/>
      <c r="E87" s="894" t="e">
        <f t="shared" si="27"/>
        <v>#DIV/0!</v>
      </c>
      <c r="F87" s="894" t="e">
        <f t="shared" si="27"/>
        <v>#DIV/0!</v>
      </c>
      <c r="G87" s="894" t="e">
        <f t="shared" si="27"/>
        <v>#DIV/0!</v>
      </c>
      <c r="H87" s="894" t="e">
        <f t="shared" si="27"/>
        <v>#DIV/0!</v>
      </c>
      <c r="I87" s="894" t="e">
        <f t="shared" si="27"/>
        <v>#DIV/0!</v>
      </c>
      <c r="J87" s="894" t="e">
        <f t="shared" si="27"/>
        <v>#DIV/0!</v>
      </c>
    </row>
    <row r="90" spans="1:10">
      <c r="A90" s="1594" t="s">
        <v>515</v>
      </c>
      <c r="B90" s="1594"/>
      <c r="C90" s="1594"/>
      <c r="D90" s="1594"/>
      <c r="E90" s="1594"/>
      <c r="F90" s="1594"/>
      <c r="G90" s="1594"/>
      <c r="H90" s="1594"/>
      <c r="I90" s="1594"/>
      <c r="J90" s="1594"/>
    </row>
    <row r="91" spans="1:10">
      <c r="A91" s="1594" t="str">
        <f>"Consolidation of Operating Companies' Capital Structure @ December 31, "&amp;TCOS!L4-1&amp;""</f>
        <v>Consolidation of Operating Companies' Capital Structure @ December 31, 2021</v>
      </c>
      <c r="B91" s="1594"/>
      <c r="C91" s="1594"/>
      <c r="D91" s="1594"/>
      <c r="E91" s="1594"/>
      <c r="F91" s="1594"/>
      <c r="G91" s="1594"/>
      <c r="H91" s="1594"/>
      <c r="I91" s="1594"/>
      <c r="J91" s="1594"/>
    </row>
    <row r="92" spans="1:10">
      <c r="A92" s="1594" t="s">
        <v>259</v>
      </c>
      <c r="B92" s="1594"/>
      <c r="C92" s="1594"/>
      <c r="D92" s="1594"/>
      <c r="E92" s="1594"/>
      <c r="F92" s="1594"/>
      <c r="G92" s="1594"/>
      <c r="H92" s="1594"/>
      <c r="I92" s="1594"/>
      <c r="J92" s="1594"/>
    </row>
    <row r="93" spans="1:10">
      <c r="B93" s="886"/>
      <c r="C93" s="889"/>
      <c r="D93" s="889"/>
      <c r="E93" s="889"/>
      <c r="F93" s="889"/>
      <c r="G93" s="889"/>
      <c r="H93" s="889"/>
      <c r="I93" s="889"/>
      <c r="J93" s="889"/>
    </row>
    <row r="94" spans="1:10" ht="76.5">
      <c r="A94" s="875" t="s">
        <v>469</v>
      </c>
      <c r="C94" s="876" t="s">
        <v>516</v>
      </c>
      <c r="D94" s="876"/>
      <c r="E94" s="876" t="s">
        <v>517</v>
      </c>
      <c r="F94" s="876" t="s">
        <v>518</v>
      </c>
      <c r="G94" s="876" t="s">
        <v>519</v>
      </c>
      <c r="H94" s="876" t="s">
        <v>520</v>
      </c>
      <c r="I94" s="876" t="s">
        <v>521</v>
      </c>
      <c r="J94" s="876" t="s">
        <v>522</v>
      </c>
    </row>
    <row r="95" spans="1:10" ht="15">
      <c r="A95" s="837" t="s">
        <v>523</v>
      </c>
    </row>
    <row r="96" spans="1:10">
      <c r="A96" s="875">
        <f>A87+1</f>
        <v>60</v>
      </c>
      <c r="B96" s="841" t="s">
        <v>348</v>
      </c>
      <c r="C96" s="844"/>
      <c r="D96" s="844"/>
      <c r="E96" s="844"/>
      <c r="F96" s="844"/>
      <c r="G96" s="844"/>
      <c r="H96" s="844"/>
      <c r="I96" s="844"/>
      <c r="J96" s="824">
        <f>SUM(C96:I96)</f>
        <v>0</v>
      </c>
    </row>
    <row r="97" spans="1:10">
      <c r="A97" s="875">
        <f>A96+1</f>
        <v>61</v>
      </c>
      <c r="B97" s="841" t="s">
        <v>349</v>
      </c>
      <c r="C97" s="844"/>
      <c r="D97" s="844"/>
      <c r="E97" s="844"/>
      <c r="F97" s="844"/>
      <c r="G97" s="844"/>
      <c r="H97" s="844"/>
      <c r="I97" s="844"/>
      <c r="J97" s="824">
        <f>SUM(C97:I97)</f>
        <v>0</v>
      </c>
    </row>
    <row r="98" spans="1:10">
      <c r="A98" s="875">
        <f>A97+1</f>
        <v>62</v>
      </c>
      <c r="B98" s="842" t="s">
        <v>25</v>
      </c>
      <c r="C98" s="844"/>
      <c r="D98" s="844"/>
      <c r="E98" s="844"/>
      <c r="F98" s="844"/>
      <c r="G98" s="844"/>
      <c r="H98" s="844"/>
      <c r="I98" s="844"/>
      <c r="J98" s="824">
        <f>SUM(C98:I98)</f>
        <v>0</v>
      </c>
    </row>
    <row r="99" spans="1:10">
      <c r="A99" s="875">
        <f>A98+1</f>
        <v>63</v>
      </c>
      <c r="B99" s="842" t="s">
        <v>19</v>
      </c>
      <c r="C99" s="844"/>
      <c r="D99" s="844"/>
      <c r="E99" s="844"/>
      <c r="F99" s="844"/>
      <c r="G99" s="844"/>
      <c r="H99" s="844"/>
      <c r="I99" s="844"/>
      <c r="J99" s="824">
        <f>SUM(C99:I99)</f>
        <v>0</v>
      </c>
    </row>
    <row r="100" spans="1:10">
      <c r="A100" s="875">
        <f>A99+1</f>
        <v>64</v>
      </c>
      <c r="B100" s="842" t="str">
        <f>"Less: Fair Value Hedges (See Note on Ln "&amp;A103&amp;" below)"</f>
        <v>Less: Fair Value Hedges (See Note on Ln 66 below)</v>
      </c>
      <c r="C100" s="147"/>
      <c r="D100" s="147"/>
      <c r="E100" s="147"/>
      <c r="F100" s="147"/>
      <c r="G100" s="147"/>
      <c r="H100" s="147"/>
      <c r="I100" s="147"/>
      <c r="J100" s="877">
        <f>SUM(C100:I100)</f>
        <v>0</v>
      </c>
    </row>
    <row r="101" spans="1:10">
      <c r="A101" s="875">
        <f>A100+1</f>
        <v>65</v>
      </c>
      <c r="B101" s="843" t="s">
        <v>69</v>
      </c>
      <c r="C101" s="878">
        <f t="shared" ref="C101:J101" si="28">C96-C97+C98+C99-C100</f>
        <v>0</v>
      </c>
      <c r="D101" s="878"/>
      <c r="E101" s="878">
        <f t="shared" si="28"/>
        <v>0</v>
      </c>
      <c r="F101" s="878">
        <f t="shared" si="28"/>
        <v>0</v>
      </c>
      <c r="G101" s="878">
        <f t="shared" si="28"/>
        <v>0</v>
      </c>
      <c r="H101" s="878">
        <f t="shared" si="28"/>
        <v>0</v>
      </c>
      <c r="I101" s="878">
        <f t="shared" si="28"/>
        <v>0</v>
      </c>
      <c r="J101" s="878">
        <f t="shared" si="28"/>
        <v>0</v>
      </c>
    </row>
    <row r="103" spans="1:10">
      <c r="A103" s="875">
        <f>A101+1</f>
        <v>66</v>
      </c>
      <c r="B103" s="1593" t="s">
        <v>68</v>
      </c>
      <c r="C103" s="1593"/>
      <c r="D103" s="1593"/>
      <c r="E103" s="1593"/>
      <c r="F103" s="1593"/>
      <c r="G103" s="1593"/>
      <c r="H103" s="1593"/>
      <c r="I103" s="1593"/>
      <c r="J103" s="1593"/>
    </row>
    <row r="104" spans="1:10">
      <c r="B104" s="879"/>
      <c r="C104" s="879"/>
      <c r="D104" s="879"/>
      <c r="E104" s="879"/>
      <c r="F104" s="879"/>
      <c r="G104" s="879"/>
      <c r="H104" s="879"/>
      <c r="I104" s="879"/>
      <c r="J104" s="879"/>
    </row>
    <row r="105" spans="1:10" ht="15">
      <c r="A105" s="837" t="s">
        <v>524</v>
      </c>
    </row>
    <row r="106" spans="1:10">
      <c r="A106" s="875">
        <f>A103+1</f>
        <v>67</v>
      </c>
      <c r="B106" s="841" t="s">
        <v>350</v>
      </c>
      <c r="C106" s="146"/>
      <c r="D106" s="146"/>
      <c r="E106" s="146"/>
      <c r="F106" s="146"/>
      <c r="G106" s="146"/>
      <c r="H106" s="146"/>
      <c r="I106" s="146"/>
      <c r="J106" s="481">
        <f t="shared" ref="J106:J111" si="29">SUM(C106:I106)</f>
        <v>0</v>
      </c>
    </row>
    <row r="107" spans="1:10">
      <c r="A107" s="875">
        <f t="shared" ref="A107:A112" si="30">A106+1</f>
        <v>68</v>
      </c>
      <c r="B107" s="841" t="s">
        <v>343</v>
      </c>
      <c r="C107" s="146"/>
      <c r="D107" s="146"/>
      <c r="E107" s="146"/>
      <c r="F107" s="146"/>
      <c r="G107" s="146"/>
      <c r="H107" s="146"/>
      <c r="I107" s="146"/>
      <c r="J107" s="481">
        <f t="shared" si="29"/>
        <v>0</v>
      </c>
    </row>
    <row r="108" spans="1:10">
      <c r="A108" s="875">
        <f t="shared" si="30"/>
        <v>69</v>
      </c>
      <c r="B108" s="841" t="s">
        <v>344</v>
      </c>
      <c r="C108" s="146"/>
      <c r="D108" s="146"/>
      <c r="E108" s="146"/>
      <c r="F108" s="146"/>
      <c r="G108" s="146"/>
      <c r="H108" s="146"/>
      <c r="I108" s="146"/>
      <c r="J108" s="481">
        <f t="shared" si="29"/>
        <v>0</v>
      </c>
    </row>
    <row r="109" spans="1:10">
      <c r="A109" s="875">
        <f t="shared" si="30"/>
        <v>70</v>
      </c>
      <c r="B109" s="841" t="s">
        <v>345</v>
      </c>
      <c r="C109" s="844"/>
      <c r="D109" s="844"/>
      <c r="E109" s="844"/>
      <c r="F109" s="844"/>
      <c r="G109" s="844"/>
      <c r="H109" s="844"/>
      <c r="I109" s="844"/>
      <c r="J109" s="824">
        <f t="shared" si="29"/>
        <v>0</v>
      </c>
    </row>
    <row r="110" spans="1:10">
      <c r="A110" s="875">
        <f t="shared" si="30"/>
        <v>71</v>
      </c>
      <c r="B110" s="841" t="s">
        <v>346</v>
      </c>
      <c r="C110" s="844"/>
      <c r="D110" s="844"/>
      <c r="E110" s="844"/>
      <c r="F110" s="844"/>
      <c r="G110" s="844"/>
      <c r="H110" s="844"/>
      <c r="I110" s="844"/>
      <c r="J110" s="824">
        <f t="shared" si="29"/>
        <v>0</v>
      </c>
    </row>
    <row r="111" spans="1:10">
      <c r="A111" s="875">
        <f t="shared" si="30"/>
        <v>72</v>
      </c>
      <c r="B111" s="880" t="s">
        <v>525</v>
      </c>
      <c r="C111" s="147"/>
      <c r="D111" s="147"/>
      <c r="E111" s="147"/>
      <c r="F111" s="147"/>
      <c r="G111" s="147"/>
      <c r="H111" s="147"/>
      <c r="I111" s="147"/>
      <c r="J111" s="877">
        <f t="shared" si="29"/>
        <v>0</v>
      </c>
    </row>
    <row r="112" spans="1:10">
      <c r="A112" s="875">
        <f t="shared" si="30"/>
        <v>73</v>
      </c>
      <c r="B112" s="881" t="s">
        <v>70</v>
      </c>
      <c r="C112" s="882">
        <f t="shared" ref="C112:J112" si="31">C106+C107+C108-C109-C110-C111</f>
        <v>0</v>
      </c>
      <c r="D112" s="882"/>
      <c r="E112" s="882">
        <f t="shared" si="31"/>
        <v>0</v>
      </c>
      <c r="F112" s="882">
        <f t="shared" si="31"/>
        <v>0</v>
      </c>
      <c r="G112" s="882">
        <f t="shared" si="31"/>
        <v>0</v>
      </c>
      <c r="H112" s="882">
        <f t="shared" si="31"/>
        <v>0</v>
      </c>
      <c r="I112" s="882">
        <f t="shared" si="31"/>
        <v>0</v>
      </c>
      <c r="J112" s="882">
        <f t="shared" si="31"/>
        <v>0</v>
      </c>
    </row>
    <row r="114" spans="1:10" ht="15">
      <c r="A114" s="837" t="s">
        <v>526</v>
      </c>
      <c r="B114" s="883"/>
      <c r="C114" s="883"/>
      <c r="D114" s="883"/>
      <c r="E114" s="883"/>
    </row>
    <row r="115" spans="1:10">
      <c r="A115" s="875">
        <f>A112+1</f>
        <v>74</v>
      </c>
      <c r="B115" s="840" t="s">
        <v>527</v>
      </c>
      <c r="C115" s="845"/>
      <c r="D115" s="904"/>
      <c r="E115" s="905"/>
      <c r="F115" s="904"/>
      <c r="G115" s="904"/>
      <c r="H115" s="845"/>
      <c r="I115" s="904"/>
      <c r="J115" s="884"/>
    </row>
    <row r="116" spans="1:10">
      <c r="A116" s="875">
        <f>A115+1</f>
        <v>75</v>
      </c>
      <c r="B116" s="840" t="s">
        <v>528</v>
      </c>
      <c r="C116" s="846"/>
      <c r="D116" s="906"/>
      <c r="E116" s="846"/>
      <c r="F116" s="906"/>
      <c r="G116" s="906"/>
      <c r="H116" s="846"/>
      <c r="I116" s="906"/>
      <c r="J116" s="885"/>
    </row>
    <row r="117" spans="1:10">
      <c r="A117" s="875">
        <f>A116+1</f>
        <v>76</v>
      </c>
      <c r="B117" s="840" t="s">
        <v>529</v>
      </c>
      <c r="C117" s="146"/>
      <c r="D117" s="907"/>
      <c r="E117" s="146"/>
      <c r="F117" s="907"/>
      <c r="G117" s="907"/>
      <c r="H117" s="146"/>
      <c r="I117" s="907"/>
    </row>
    <row r="118" spans="1:10">
      <c r="A118" s="875">
        <f>A117+1</f>
        <v>77</v>
      </c>
      <c r="B118" s="840" t="str">
        <f>"Monetary Value (Ln "&amp;A116&amp;" * Ln "&amp;A117&amp;")"</f>
        <v>Monetary Value (Ln 75 * Ln 76)</v>
      </c>
      <c r="C118" s="480">
        <f t="shared" ref="C118:I118" si="32">C116*C117</f>
        <v>0</v>
      </c>
      <c r="D118" s="480"/>
      <c r="E118" s="480">
        <f t="shared" si="32"/>
        <v>0</v>
      </c>
      <c r="F118" s="480">
        <f t="shared" si="32"/>
        <v>0</v>
      </c>
      <c r="G118" s="480">
        <f t="shared" si="32"/>
        <v>0</v>
      </c>
      <c r="H118" s="480">
        <f t="shared" si="32"/>
        <v>0</v>
      </c>
      <c r="I118" s="480">
        <f t="shared" si="32"/>
        <v>0</v>
      </c>
      <c r="J118" s="882">
        <f>SUM(C118:I118)</f>
        <v>0</v>
      </c>
    </row>
    <row r="119" spans="1:10">
      <c r="A119" s="875">
        <f>A118+1</f>
        <v>78</v>
      </c>
      <c r="B119" s="840" t="str">
        <f>"Dividend Amount (Ln "&amp;A115&amp;" * Ln "&amp;A118&amp;")"</f>
        <v>Dividend Amount (Ln 74 * Ln 77)</v>
      </c>
      <c r="C119" s="480">
        <f t="shared" ref="C119:I119" si="33">C118*C115</f>
        <v>0</v>
      </c>
      <c r="D119" s="480"/>
      <c r="E119" s="480">
        <f t="shared" si="33"/>
        <v>0</v>
      </c>
      <c r="F119" s="480">
        <f t="shared" si="33"/>
        <v>0</v>
      </c>
      <c r="G119" s="480">
        <f t="shared" si="33"/>
        <v>0</v>
      </c>
      <c r="H119" s="480">
        <f t="shared" si="33"/>
        <v>0</v>
      </c>
      <c r="I119" s="480">
        <f t="shared" si="33"/>
        <v>0</v>
      </c>
      <c r="J119" s="882">
        <f>SUM(C119:I119)</f>
        <v>0</v>
      </c>
    </row>
    <row r="121" spans="1:10">
      <c r="A121" s="875">
        <f>A119+1</f>
        <v>79</v>
      </c>
      <c r="B121" s="840" t="s">
        <v>527</v>
      </c>
      <c r="C121" s="845"/>
      <c r="D121" s="904"/>
      <c r="E121" s="905"/>
      <c r="F121" s="904"/>
      <c r="G121" s="904"/>
      <c r="H121" s="845"/>
      <c r="I121" s="904"/>
    </row>
    <row r="122" spans="1:10">
      <c r="A122" s="875">
        <f>A121+1</f>
        <v>80</v>
      </c>
      <c r="B122" s="840" t="s">
        <v>528</v>
      </c>
      <c r="C122" s="846"/>
      <c r="D122" s="906"/>
      <c r="E122" s="846"/>
      <c r="F122" s="906"/>
      <c r="G122" s="906"/>
      <c r="H122" s="846"/>
      <c r="I122" s="906"/>
    </row>
    <row r="123" spans="1:10">
      <c r="A123" s="875">
        <f>A122+1</f>
        <v>81</v>
      </c>
      <c r="B123" s="840" t="s">
        <v>529</v>
      </c>
      <c r="C123" s="146"/>
      <c r="D123" s="907"/>
      <c r="E123" s="146"/>
      <c r="F123" s="907"/>
      <c r="G123" s="907"/>
      <c r="H123" s="146"/>
      <c r="I123" s="907"/>
    </row>
    <row r="124" spans="1:10">
      <c r="A124" s="875">
        <f>A123+1</f>
        <v>82</v>
      </c>
      <c r="B124" s="840" t="str">
        <f>"Monetary Value (Ln "&amp;A122&amp;" * Ln "&amp;A123&amp;")"</f>
        <v>Monetary Value (Ln 80 * Ln 81)</v>
      </c>
      <c r="C124" s="480">
        <f t="shared" ref="C124:I124" si="34">C122*C123</f>
        <v>0</v>
      </c>
      <c r="D124" s="480"/>
      <c r="E124" s="480">
        <f t="shared" si="34"/>
        <v>0</v>
      </c>
      <c r="F124" s="480">
        <f t="shared" si="34"/>
        <v>0</v>
      </c>
      <c r="G124" s="480">
        <f t="shared" si="34"/>
        <v>0</v>
      </c>
      <c r="H124" s="480">
        <f t="shared" si="34"/>
        <v>0</v>
      </c>
      <c r="I124" s="480">
        <f t="shared" si="34"/>
        <v>0</v>
      </c>
      <c r="J124" s="882">
        <f>SUM(C124:I124)</f>
        <v>0</v>
      </c>
    </row>
    <row r="125" spans="1:10">
      <c r="A125" s="875">
        <f>A124+1</f>
        <v>83</v>
      </c>
      <c r="B125" s="840" t="str">
        <f>"Dividend Amount (Ln "&amp;A121&amp;" * Ln "&amp;A124&amp;")"</f>
        <v>Dividend Amount (Ln 79 * Ln 82)</v>
      </c>
      <c r="C125" s="480">
        <f t="shared" ref="C125:I125" si="35">C124*C121</f>
        <v>0</v>
      </c>
      <c r="D125" s="480"/>
      <c r="E125" s="480">
        <f t="shared" si="35"/>
        <v>0</v>
      </c>
      <c r="F125" s="480">
        <f t="shared" si="35"/>
        <v>0</v>
      </c>
      <c r="G125" s="480">
        <f t="shared" si="35"/>
        <v>0</v>
      </c>
      <c r="H125" s="480">
        <f t="shared" si="35"/>
        <v>0</v>
      </c>
      <c r="I125" s="480">
        <f t="shared" si="35"/>
        <v>0</v>
      </c>
      <c r="J125" s="882">
        <f>SUM(C125:I125)</f>
        <v>0</v>
      </c>
    </row>
    <row r="127" spans="1:10">
      <c r="A127" s="875">
        <f>A125+1</f>
        <v>84</v>
      </c>
      <c r="B127" s="840" t="s">
        <v>527</v>
      </c>
      <c r="C127" s="845"/>
      <c r="D127" s="904"/>
      <c r="E127" s="905"/>
      <c r="F127" s="904"/>
      <c r="G127" s="904"/>
      <c r="H127" s="845"/>
      <c r="I127" s="904"/>
    </row>
    <row r="128" spans="1:10">
      <c r="A128" s="875">
        <f>A127+1</f>
        <v>85</v>
      </c>
      <c r="B128" s="840" t="s">
        <v>528</v>
      </c>
      <c r="C128" s="846"/>
      <c r="D128" s="906"/>
      <c r="E128" s="846"/>
      <c r="F128" s="906"/>
      <c r="G128" s="906"/>
      <c r="H128" s="846"/>
      <c r="I128" s="906"/>
    </row>
    <row r="129" spans="1:10">
      <c r="A129" s="875">
        <f>A128+1</f>
        <v>86</v>
      </c>
      <c r="B129" s="840" t="s">
        <v>529</v>
      </c>
      <c r="C129" s="146"/>
      <c r="D129" s="907"/>
      <c r="E129" s="146"/>
      <c r="F129" s="907"/>
      <c r="G129" s="907"/>
      <c r="H129" s="146"/>
      <c r="I129" s="907"/>
    </row>
    <row r="130" spans="1:10">
      <c r="A130" s="875">
        <f>A129+1</f>
        <v>87</v>
      </c>
      <c r="B130" s="840" t="str">
        <f>"Monetary Value (Ln "&amp;A128&amp;" * Ln "&amp;A129&amp;")"</f>
        <v>Monetary Value (Ln 85 * Ln 86)</v>
      </c>
      <c r="C130" s="480">
        <f t="shared" ref="C130:I130" si="36">C128*C129</f>
        <v>0</v>
      </c>
      <c r="D130" s="480"/>
      <c r="E130" s="480">
        <f t="shared" si="36"/>
        <v>0</v>
      </c>
      <c r="F130" s="480">
        <f t="shared" si="36"/>
        <v>0</v>
      </c>
      <c r="G130" s="480">
        <f t="shared" si="36"/>
        <v>0</v>
      </c>
      <c r="H130" s="480">
        <f t="shared" si="36"/>
        <v>0</v>
      </c>
      <c r="I130" s="480">
        <f t="shared" si="36"/>
        <v>0</v>
      </c>
      <c r="J130" s="882">
        <f>SUM(C130:I130)</f>
        <v>0</v>
      </c>
    </row>
    <row r="131" spans="1:10">
      <c r="A131" s="875">
        <f>A130+1</f>
        <v>88</v>
      </c>
      <c r="B131" s="840" t="str">
        <f>"Dividend Amount (Ln "&amp;A127&amp;" * Ln "&amp;A130&amp;")"</f>
        <v>Dividend Amount (Ln 84 * Ln 87)</v>
      </c>
      <c r="C131" s="480">
        <f t="shared" ref="C131:I131" si="37">C130*C127</f>
        <v>0</v>
      </c>
      <c r="D131" s="480"/>
      <c r="E131" s="480">
        <f t="shared" si="37"/>
        <v>0</v>
      </c>
      <c r="F131" s="480">
        <f t="shared" si="37"/>
        <v>0</v>
      </c>
      <c r="G131" s="480">
        <f t="shared" si="37"/>
        <v>0</v>
      </c>
      <c r="H131" s="480">
        <f t="shared" si="37"/>
        <v>0</v>
      </c>
      <c r="I131" s="480">
        <f t="shared" si="37"/>
        <v>0</v>
      </c>
      <c r="J131" s="882">
        <f>SUM(C131:I131)</f>
        <v>0</v>
      </c>
    </row>
    <row r="133" spans="1:10">
      <c r="A133" s="875">
        <f>A131+1</f>
        <v>89</v>
      </c>
      <c r="B133" s="840" t="s">
        <v>527</v>
      </c>
      <c r="C133" s="845"/>
      <c r="D133" s="904"/>
      <c r="E133" s="905"/>
      <c r="F133" s="904"/>
      <c r="G133" s="904"/>
      <c r="H133" s="845"/>
      <c r="I133" s="904"/>
    </row>
    <row r="134" spans="1:10">
      <c r="A134" s="875">
        <f>A133+1</f>
        <v>90</v>
      </c>
      <c r="B134" s="840" t="s">
        <v>528</v>
      </c>
      <c r="C134" s="846"/>
      <c r="D134" s="906"/>
      <c r="E134" s="846"/>
      <c r="F134" s="906"/>
      <c r="G134" s="906"/>
      <c r="H134" s="846"/>
      <c r="I134" s="906"/>
    </row>
    <row r="135" spans="1:10">
      <c r="A135" s="875">
        <f>A134+1</f>
        <v>91</v>
      </c>
      <c r="B135" s="840" t="s">
        <v>529</v>
      </c>
      <c r="C135" s="146"/>
      <c r="D135" s="907"/>
      <c r="E135" s="146"/>
      <c r="F135" s="907"/>
      <c r="G135" s="907"/>
      <c r="H135" s="146"/>
      <c r="I135" s="907"/>
    </row>
    <row r="136" spans="1:10">
      <c r="A136" s="875">
        <f>A135+1</f>
        <v>92</v>
      </c>
      <c r="B136" s="840" t="str">
        <f>"Monetary Value (Ln "&amp;A134&amp;" * Ln "&amp;A135&amp;")"</f>
        <v>Monetary Value (Ln 90 * Ln 91)</v>
      </c>
      <c r="C136" s="480">
        <f t="shared" ref="C136:I136" si="38">C134*C135</f>
        <v>0</v>
      </c>
      <c r="D136" s="480"/>
      <c r="E136" s="480">
        <f t="shared" si="38"/>
        <v>0</v>
      </c>
      <c r="F136" s="480">
        <f t="shared" si="38"/>
        <v>0</v>
      </c>
      <c r="G136" s="480">
        <f t="shared" si="38"/>
        <v>0</v>
      </c>
      <c r="H136" s="480">
        <f t="shared" si="38"/>
        <v>0</v>
      </c>
      <c r="I136" s="480">
        <f t="shared" si="38"/>
        <v>0</v>
      </c>
      <c r="J136" s="882">
        <f>SUM(C136:I136)</f>
        <v>0</v>
      </c>
    </row>
    <row r="137" spans="1:10">
      <c r="A137" s="875">
        <f>A136+1</f>
        <v>93</v>
      </c>
      <c r="B137" s="840" t="str">
        <f>"Dividend Amount (Ln "&amp;A133&amp;" * Ln "&amp;A136&amp;")"</f>
        <v>Dividend Amount (Ln 89 * Ln 92)</v>
      </c>
      <c r="C137" s="480">
        <f t="shared" ref="C137:I137" si="39">C136*C133</f>
        <v>0</v>
      </c>
      <c r="D137" s="480"/>
      <c r="E137" s="480">
        <f t="shared" si="39"/>
        <v>0</v>
      </c>
      <c r="F137" s="480">
        <f t="shared" si="39"/>
        <v>0</v>
      </c>
      <c r="G137" s="480">
        <f t="shared" si="39"/>
        <v>0</v>
      </c>
      <c r="H137" s="480">
        <f t="shared" si="39"/>
        <v>0</v>
      </c>
      <c r="I137" s="480">
        <f t="shared" si="39"/>
        <v>0</v>
      </c>
      <c r="J137" s="882">
        <f>SUM(C137:I137)</f>
        <v>0</v>
      </c>
    </row>
    <row r="138" spans="1:10">
      <c r="B138" s="840"/>
    </row>
    <row r="139" spans="1:10">
      <c r="A139" s="875">
        <f>A137+1</f>
        <v>94</v>
      </c>
      <c r="B139" s="838" t="str">
        <f>"Preferred Stock (Lns "&amp;A118&amp;", "&amp;A124&amp;", "&amp;A130&amp;","&amp;A136&amp;")"</f>
        <v>Preferred Stock (Lns 77, 82, 87,92)</v>
      </c>
      <c r="C139" s="882">
        <f t="shared" ref="C139:I140" si="40">C118+C124+C130+C136</f>
        <v>0</v>
      </c>
      <c r="D139" s="882"/>
      <c r="E139" s="882">
        <f t="shared" si="40"/>
        <v>0</v>
      </c>
      <c r="F139" s="882">
        <f t="shared" si="40"/>
        <v>0</v>
      </c>
      <c r="G139" s="882">
        <f t="shared" si="40"/>
        <v>0</v>
      </c>
      <c r="H139" s="882">
        <f t="shared" si="40"/>
        <v>0</v>
      </c>
      <c r="I139" s="882">
        <f t="shared" si="40"/>
        <v>0</v>
      </c>
      <c r="J139" s="882">
        <f>SUM(C139:I139)</f>
        <v>0</v>
      </c>
    </row>
    <row r="140" spans="1:10">
      <c r="A140" s="875">
        <f>A139+1</f>
        <v>95</v>
      </c>
      <c r="B140" s="838" t="str">
        <f>"Preferred Dividends (Lns "&amp;A119&amp;", "&amp;A125&amp;", "&amp;A131&amp;","&amp;A137&amp;")"</f>
        <v>Preferred Dividends (Lns 78, 83, 88,93)</v>
      </c>
      <c r="C140" s="882">
        <f t="shared" si="40"/>
        <v>0</v>
      </c>
      <c r="D140" s="882"/>
      <c r="E140" s="882">
        <f t="shared" si="40"/>
        <v>0</v>
      </c>
      <c r="F140" s="882">
        <f t="shared" si="40"/>
        <v>0</v>
      </c>
      <c r="G140" s="882">
        <f t="shared" si="40"/>
        <v>0</v>
      </c>
      <c r="H140" s="882">
        <f t="shared" si="40"/>
        <v>0</v>
      </c>
      <c r="I140" s="882">
        <f t="shared" si="40"/>
        <v>0</v>
      </c>
      <c r="J140" s="882">
        <f>SUM(C140:I140)</f>
        <v>0</v>
      </c>
    </row>
    <row r="141" spans="1:10">
      <c r="B141" s="886"/>
    </row>
    <row r="142" spans="1:10" ht="15">
      <c r="A142" s="837" t="s">
        <v>530</v>
      </c>
    </row>
    <row r="143" spans="1:10">
      <c r="A143" s="875">
        <f>A140+1</f>
        <v>96</v>
      </c>
      <c r="B143" s="656" t="s">
        <v>531</v>
      </c>
      <c r="C143" s="146"/>
      <c r="D143" s="146"/>
      <c r="E143" s="146"/>
      <c r="F143" s="146"/>
      <c r="G143" s="146"/>
      <c r="H143" s="146"/>
      <c r="I143" s="146"/>
      <c r="J143" s="882">
        <f>SUM(C143:I143)</f>
        <v>0</v>
      </c>
    </row>
    <row r="144" spans="1:10">
      <c r="A144" s="875">
        <f>A143+1</f>
        <v>97</v>
      </c>
      <c r="B144" s="656" t="str">
        <f>"Less: Preferred Stock (Ln "&amp;A139&amp;" Above)"</f>
        <v>Less: Preferred Stock (Ln 94 Above)</v>
      </c>
      <c r="C144" s="481">
        <f>C139</f>
        <v>0</v>
      </c>
      <c r="D144" s="481"/>
      <c r="E144" s="481">
        <f>E139</f>
        <v>0</v>
      </c>
      <c r="F144" s="481">
        <f>F139</f>
        <v>0</v>
      </c>
      <c r="G144" s="481">
        <f>G139</f>
        <v>0</v>
      </c>
      <c r="H144" s="481">
        <f>H139</f>
        <v>0</v>
      </c>
      <c r="I144" s="481">
        <f>I139</f>
        <v>0</v>
      </c>
      <c r="J144" s="882">
        <f>SUM(C144:I144)</f>
        <v>0</v>
      </c>
    </row>
    <row r="145" spans="1:10">
      <c r="A145" s="875">
        <f>A144+1</f>
        <v>98</v>
      </c>
      <c r="B145" s="656" t="s">
        <v>532</v>
      </c>
      <c r="C145" s="844"/>
      <c r="D145" s="844"/>
      <c r="E145" s="844"/>
      <c r="F145" s="844"/>
      <c r="G145" s="844"/>
      <c r="H145" s="844"/>
      <c r="I145" s="844"/>
      <c r="J145" s="882">
        <f>SUM(C145:I145)</f>
        <v>0</v>
      </c>
    </row>
    <row r="146" spans="1:10">
      <c r="A146" s="875">
        <f>A145+1</f>
        <v>99</v>
      </c>
      <c r="B146" s="656" t="s">
        <v>533</v>
      </c>
      <c r="C146" s="147"/>
      <c r="D146" s="147"/>
      <c r="E146" s="147"/>
      <c r="F146" s="147"/>
      <c r="G146" s="147"/>
      <c r="H146" s="147"/>
      <c r="I146" s="147"/>
      <c r="J146" s="887">
        <f>SUM(C146:I146)</f>
        <v>0</v>
      </c>
    </row>
    <row r="147" spans="1:10">
      <c r="A147" s="875">
        <f>A146+1</f>
        <v>100</v>
      </c>
      <c r="B147" s="839" t="s">
        <v>534</v>
      </c>
      <c r="C147" s="824">
        <f t="shared" ref="C147:J147" si="41">C143-C144-C145-C146</f>
        <v>0</v>
      </c>
      <c r="D147" s="824"/>
      <c r="E147" s="824">
        <f t="shared" si="41"/>
        <v>0</v>
      </c>
      <c r="F147" s="824">
        <f t="shared" si="41"/>
        <v>0</v>
      </c>
      <c r="G147" s="824">
        <f t="shared" si="41"/>
        <v>0</v>
      </c>
      <c r="H147" s="824">
        <f t="shared" si="41"/>
        <v>0</v>
      </c>
      <c r="I147" s="824">
        <f t="shared" si="41"/>
        <v>0</v>
      </c>
      <c r="J147" s="824">
        <f t="shared" si="41"/>
        <v>0</v>
      </c>
    </row>
    <row r="149" spans="1:10" ht="15">
      <c r="A149" s="837" t="s">
        <v>535</v>
      </c>
    </row>
    <row r="150" spans="1:10">
      <c r="A150" s="875">
        <f>A147+1</f>
        <v>101</v>
      </c>
      <c r="B150" s="460" t="str">
        <f>"Long Term Debt (Ln "&amp;A101&amp;" Above)"</f>
        <v>Long Term Debt (Ln 65 Above)</v>
      </c>
      <c r="C150" s="882">
        <f t="shared" ref="C150:J150" si="42">C101</f>
        <v>0</v>
      </c>
      <c r="D150" s="882"/>
      <c r="E150" s="882">
        <f t="shared" si="42"/>
        <v>0</v>
      </c>
      <c r="F150" s="882">
        <f t="shared" si="42"/>
        <v>0</v>
      </c>
      <c r="G150" s="882">
        <f t="shared" si="42"/>
        <v>0</v>
      </c>
      <c r="H150" s="882">
        <f t="shared" si="42"/>
        <v>0</v>
      </c>
      <c r="I150" s="882">
        <f t="shared" si="42"/>
        <v>0</v>
      </c>
      <c r="J150" s="882">
        <f t="shared" si="42"/>
        <v>0</v>
      </c>
    </row>
    <row r="151" spans="1:10">
      <c r="A151" s="875">
        <f>A150+1</f>
        <v>102</v>
      </c>
      <c r="B151" s="460" t="str">
        <f>"Preferred Stock (Ln "&amp;A139&amp;" Above)"</f>
        <v>Preferred Stock (Ln 94 Above)</v>
      </c>
      <c r="C151" s="882">
        <f t="shared" ref="C151:J151" si="43">C139</f>
        <v>0</v>
      </c>
      <c r="D151" s="882"/>
      <c r="E151" s="882">
        <f t="shared" si="43"/>
        <v>0</v>
      </c>
      <c r="F151" s="882">
        <f t="shared" si="43"/>
        <v>0</v>
      </c>
      <c r="G151" s="882">
        <f t="shared" si="43"/>
        <v>0</v>
      </c>
      <c r="H151" s="882">
        <f t="shared" si="43"/>
        <v>0</v>
      </c>
      <c r="I151" s="882">
        <f t="shared" si="43"/>
        <v>0</v>
      </c>
      <c r="J151" s="882">
        <f t="shared" si="43"/>
        <v>0</v>
      </c>
    </row>
    <row r="152" spans="1:10">
      <c r="A152" s="875">
        <f>A151+1</f>
        <v>103</v>
      </c>
      <c r="B152" s="460" t="str">
        <f>"Common Equity (Ln "&amp;A147&amp;" Above)"</f>
        <v>Common Equity (Ln 100 Above)</v>
      </c>
      <c r="C152" s="887">
        <f t="shared" ref="C152:J152" si="44">C147</f>
        <v>0</v>
      </c>
      <c r="D152" s="887"/>
      <c r="E152" s="887">
        <f t="shared" si="44"/>
        <v>0</v>
      </c>
      <c r="F152" s="887">
        <f t="shared" si="44"/>
        <v>0</v>
      </c>
      <c r="G152" s="887">
        <f t="shared" si="44"/>
        <v>0</v>
      </c>
      <c r="H152" s="887">
        <f t="shared" si="44"/>
        <v>0</v>
      </c>
      <c r="I152" s="887">
        <f t="shared" si="44"/>
        <v>0</v>
      </c>
      <c r="J152" s="887">
        <f t="shared" si="44"/>
        <v>0</v>
      </c>
    </row>
    <row r="153" spans="1:10">
      <c r="A153" s="875">
        <f>A152+1</f>
        <v>104</v>
      </c>
      <c r="B153" s="875" t="s">
        <v>536</v>
      </c>
      <c r="C153" s="882">
        <f t="shared" ref="C153:J153" si="45">SUM(C150:C152)</f>
        <v>0</v>
      </c>
      <c r="D153" s="882"/>
      <c r="E153" s="882">
        <f t="shared" si="45"/>
        <v>0</v>
      </c>
      <c r="F153" s="882">
        <f t="shared" si="45"/>
        <v>0</v>
      </c>
      <c r="G153" s="882">
        <f t="shared" si="45"/>
        <v>0</v>
      </c>
      <c r="H153" s="882">
        <f t="shared" si="45"/>
        <v>0</v>
      </c>
      <c r="I153" s="882">
        <f t="shared" si="45"/>
        <v>0</v>
      </c>
      <c r="J153" s="882">
        <f t="shared" si="45"/>
        <v>0</v>
      </c>
    </row>
    <row r="155" spans="1:10">
      <c r="A155" s="875">
        <f>A153+1</f>
        <v>105</v>
      </c>
      <c r="B155" s="460" t="str">
        <f>"LTD Capital Shares (Ln "&amp;A150&amp;" / Ln "&amp;A153&amp;")"</f>
        <v>LTD Capital Shares (Ln 101 / Ln 104)</v>
      </c>
      <c r="C155" s="888" t="e">
        <f t="shared" ref="C155:J155" si="46">C150/C153</f>
        <v>#DIV/0!</v>
      </c>
      <c r="D155" s="888"/>
      <c r="E155" s="888" t="e">
        <f t="shared" si="46"/>
        <v>#DIV/0!</v>
      </c>
      <c r="F155" s="888" t="e">
        <f t="shared" si="46"/>
        <v>#DIV/0!</v>
      </c>
      <c r="G155" s="888" t="e">
        <f t="shared" si="46"/>
        <v>#DIV/0!</v>
      </c>
      <c r="H155" s="888" t="e">
        <f t="shared" si="46"/>
        <v>#DIV/0!</v>
      </c>
      <c r="I155" s="888" t="e">
        <f t="shared" si="46"/>
        <v>#DIV/0!</v>
      </c>
      <c r="J155" s="888" t="e">
        <f t="shared" si="46"/>
        <v>#DIV/0!</v>
      </c>
    </row>
    <row r="156" spans="1:10">
      <c r="A156" s="875">
        <f>A155+1</f>
        <v>106</v>
      </c>
      <c r="B156" s="460" t="str">
        <f>"Preferred Stock Capital Shares (Ln "&amp;A151&amp;" / Ln "&amp;A153&amp;")"</f>
        <v>Preferred Stock Capital Shares (Ln 102 / Ln 104)</v>
      </c>
      <c r="C156" s="888" t="e">
        <f t="shared" ref="C156:J156" si="47">C151/C153</f>
        <v>#DIV/0!</v>
      </c>
      <c r="D156" s="888"/>
      <c r="E156" s="888" t="e">
        <f t="shared" si="47"/>
        <v>#DIV/0!</v>
      </c>
      <c r="F156" s="888" t="e">
        <f t="shared" si="47"/>
        <v>#DIV/0!</v>
      </c>
      <c r="G156" s="888" t="e">
        <f t="shared" si="47"/>
        <v>#DIV/0!</v>
      </c>
      <c r="H156" s="888" t="e">
        <f t="shared" si="47"/>
        <v>#DIV/0!</v>
      </c>
      <c r="I156" s="888" t="e">
        <f t="shared" si="47"/>
        <v>#DIV/0!</v>
      </c>
      <c r="J156" s="888" t="e">
        <f t="shared" si="47"/>
        <v>#DIV/0!</v>
      </c>
    </row>
    <row r="157" spans="1:10">
      <c r="A157" s="889">
        <f>A156+1</f>
        <v>107</v>
      </c>
      <c r="B157" s="460" t="str">
        <f>"Common Equity Capital Shares (Ln "&amp;A152&amp;" / Ln "&amp;A153&amp;")"</f>
        <v>Common Equity Capital Shares (Ln 103 / Ln 104)</v>
      </c>
      <c r="C157" s="890" t="e">
        <f t="shared" ref="C157:J157" si="48">C152/C153</f>
        <v>#DIV/0!</v>
      </c>
      <c r="D157" s="890"/>
      <c r="E157" s="890" t="e">
        <f t="shared" si="48"/>
        <v>#DIV/0!</v>
      </c>
      <c r="F157" s="890" t="e">
        <f t="shared" si="48"/>
        <v>#DIV/0!</v>
      </c>
      <c r="G157" s="890" t="e">
        <f t="shared" si="48"/>
        <v>#DIV/0!</v>
      </c>
      <c r="H157" s="890" t="e">
        <f t="shared" si="48"/>
        <v>#DIV/0!</v>
      </c>
      <c r="I157" s="890" t="e">
        <f t="shared" si="48"/>
        <v>#DIV/0!</v>
      </c>
      <c r="J157" s="890" t="e">
        <f t="shared" si="48"/>
        <v>#DIV/0!</v>
      </c>
    </row>
    <row r="158" spans="1:10">
      <c r="A158" s="889"/>
      <c r="B158" s="460"/>
      <c r="C158" s="890"/>
      <c r="D158" s="890"/>
      <c r="E158" s="890"/>
      <c r="F158" s="890"/>
      <c r="G158" s="890"/>
      <c r="H158" s="890"/>
      <c r="I158" s="890"/>
      <c r="J158" s="890"/>
    </row>
    <row r="159" spans="1:10">
      <c r="A159" s="889">
        <f>A157+1</f>
        <v>108</v>
      </c>
      <c r="B159" s="838" t="s">
        <v>566</v>
      </c>
      <c r="C159" s="891"/>
      <c r="D159" s="891"/>
      <c r="E159" s="891"/>
      <c r="F159" s="891"/>
      <c r="G159" s="891"/>
      <c r="H159" s="891"/>
      <c r="I159" s="891"/>
      <c r="J159" s="891"/>
    </row>
    <row r="160" spans="1:10">
      <c r="A160" s="889"/>
      <c r="B160" s="460"/>
      <c r="C160" s="890"/>
      <c r="D160" s="890"/>
      <c r="E160" s="890"/>
      <c r="F160" s="890"/>
      <c r="G160" s="890"/>
      <c r="H160" s="890"/>
      <c r="I160" s="890"/>
      <c r="J160" s="890"/>
    </row>
    <row r="161" spans="1:10">
      <c r="A161" s="889">
        <f>A159+1</f>
        <v>109</v>
      </c>
      <c r="B161" s="838" t="s">
        <v>566</v>
      </c>
      <c r="C161" s="890"/>
      <c r="D161" s="890"/>
      <c r="E161" s="890"/>
      <c r="F161" s="890"/>
      <c r="G161" s="890"/>
      <c r="H161" s="890"/>
      <c r="I161" s="890"/>
      <c r="J161" s="890"/>
    </row>
    <row r="162" spans="1:10">
      <c r="A162" s="889">
        <f>A161+1</f>
        <v>110</v>
      </c>
      <c r="B162" s="838" t="s">
        <v>566</v>
      </c>
      <c r="C162" s="890"/>
      <c r="D162" s="890"/>
      <c r="E162" s="890"/>
      <c r="F162" s="890"/>
      <c r="G162" s="890"/>
      <c r="H162" s="890"/>
      <c r="I162" s="890"/>
      <c r="J162" s="890"/>
    </row>
    <row r="163" spans="1:10">
      <c r="A163" s="889">
        <f>A162+1</f>
        <v>111</v>
      </c>
      <c r="B163" s="838" t="s">
        <v>566</v>
      </c>
      <c r="C163" s="890"/>
      <c r="D163" s="890"/>
      <c r="E163" s="890"/>
      <c r="F163" s="890"/>
      <c r="G163" s="890"/>
      <c r="H163" s="890"/>
      <c r="I163" s="890"/>
      <c r="J163" s="890"/>
    </row>
    <row r="164" spans="1:10">
      <c r="B164" s="460"/>
      <c r="C164" s="888"/>
      <c r="D164" s="888"/>
      <c r="E164" s="888"/>
      <c r="F164" s="888"/>
      <c r="G164" s="888"/>
      <c r="H164" s="888"/>
      <c r="I164" s="888"/>
      <c r="J164" s="888"/>
    </row>
    <row r="165" spans="1:10" ht="15">
      <c r="A165" s="837" t="s">
        <v>537</v>
      </c>
    </row>
    <row r="166" spans="1:10">
      <c r="A166" s="875">
        <f>A163+1</f>
        <v>112</v>
      </c>
      <c r="B166" s="460" t="str">
        <f>"LTD Capital Cost Rate (Ln "&amp;A112&amp;" / Ln "&amp;A101&amp;")"</f>
        <v>LTD Capital Cost Rate (Ln 73 / Ln 65)</v>
      </c>
      <c r="C166" s="888" t="e">
        <f t="shared" ref="C166:J166" si="49">C112/C101</f>
        <v>#DIV/0!</v>
      </c>
      <c r="D166" s="888"/>
      <c r="E166" s="888" t="e">
        <f t="shared" si="49"/>
        <v>#DIV/0!</v>
      </c>
      <c r="F166" s="888" t="e">
        <f t="shared" si="49"/>
        <v>#DIV/0!</v>
      </c>
      <c r="G166" s="888" t="e">
        <f t="shared" si="49"/>
        <v>#DIV/0!</v>
      </c>
      <c r="H166" s="888" t="e">
        <f t="shared" si="49"/>
        <v>#DIV/0!</v>
      </c>
      <c r="I166" s="888" t="e">
        <f t="shared" si="49"/>
        <v>#DIV/0!</v>
      </c>
      <c r="J166" s="888" t="e">
        <f t="shared" si="49"/>
        <v>#DIV/0!</v>
      </c>
    </row>
    <row r="167" spans="1:10">
      <c r="A167" s="875">
        <f>A166+1</f>
        <v>113</v>
      </c>
      <c r="B167" s="460" t="str">
        <f>"Preferred Stock Capital Cost Rate (Ln "&amp;A140&amp;" / Ln "&amp;A139&amp;")"</f>
        <v>Preferred Stock Capital Cost Rate (Ln 95 / Ln 94)</v>
      </c>
      <c r="C167" s="888">
        <f t="shared" ref="C167:J167" si="50">IF(C139=0,0,C140/C139)</f>
        <v>0</v>
      </c>
      <c r="D167" s="888"/>
      <c r="E167" s="888">
        <f t="shared" si="50"/>
        <v>0</v>
      </c>
      <c r="F167" s="888">
        <f t="shared" si="50"/>
        <v>0</v>
      </c>
      <c r="G167" s="888">
        <f t="shared" si="50"/>
        <v>0</v>
      </c>
      <c r="H167" s="888">
        <f t="shared" si="50"/>
        <v>0</v>
      </c>
      <c r="I167" s="888">
        <f t="shared" si="50"/>
        <v>0</v>
      </c>
      <c r="J167" s="888">
        <f t="shared" si="50"/>
        <v>0</v>
      </c>
    </row>
    <row r="168" spans="1:10">
      <c r="A168" s="875">
        <f>A167+1</f>
        <v>114</v>
      </c>
      <c r="B168" s="460" t="s">
        <v>538</v>
      </c>
      <c r="C168" s="888">
        <v>0.1149</v>
      </c>
      <c r="D168" s="888"/>
      <c r="E168" s="888">
        <v>0.1149</v>
      </c>
      <c r="F168" s="888">
        <v>0.1149</v>
      </c>
      <c r="G168" s="888">
        <v>0.1149</v>
      </c>
      <c r="H168" s="888">
        <v>0.1149</v>
      </c>
      <c r="I168" s="888">
        <v>0.1149</v>
      </c>
      <c r="J168" s="888">
        <v>0.1149</v>
      </c>
    </row>
    <row r="170" spans="1:10" ht="15">
      <c r="A170" s="837" t="s">
        <v>539</v>
      </c>
    </row>
    <row r="171" spans="1:10">
      <c r="A171" s="875">
        <f>A168+1</f>
        <v>115</v>
      </c>
      <c r="B171" s="460" t="str">
        <f>"LTD Weighted Capital Cost Rate (Ln "&amp;A155&amp;" * Ln "&amp;A166&amp;")"</f>
        <v>LTD Weighted Capital Cost Rate (Ln 105 * Ln 112)</v>
      </c>
      <c r="C171" s="888" t="e">
        <f>C155*C166</f>
        <v>#DIV/0!</v>
      </c>
      <c r="D171" s="888"/>
      <c r="E171" s="888" t="e">
        <f t="shared" ref="E171:J171" si="51">E155*E166</f>
        <v>#DIV/0!</v>
      </c>
      <c r="F171" s="888" t="e">
        <f t="shared" si="51"/>
        <v>#DIV/0!</v>
      </c>
      <c r="G171" s="888" t="e">
        <f t="shared" si="51"/>
        <v>#DIV/0!</v>
      </c>
      <c r="H171" s="888" t="e">
        <f t="shared" si="51"/>
        <v>#DIV/0!</v>
      </c>
      <c r="I171" s="888" t="e">
        <f t="shared" si="51"/>
        <v>#DIV/0!</v>
      </c>
      <c r="J171" s="888" t="e">
        <f t="shared" si="51"/>
        <v>#DIV/0!</v>
      </c>
    </row>
    <row r="172" spans="1:10">
      <c r="A172" s="875">
        <f>A171+1</f>
        <v>116</v>
      </c>
      <c r="B172" s="460" t="str">
        <f>"Preferred Stock Capital Cost Rate (Ln "&amp;A156&amp;" * Ln "&amp;A167&amp;")"</f>
        <v>Preferred Stock Capital Cost Rate (Ln 106 * Ln 113)</v>
      </c>
      <c r="C172" s="888" t="e">
        <f>C156*C167</f>
        <v>#DIV/0!</v>
      </c>
      <c r="D172" s="888"/>
      <c r="E172" s="888" t="e">
        <f t="shared" ref="E172:J172" si="52">E156*E167</f>
        <v>#DIV/0!</v>
      </c>
      <c r="F172" s="888" t="e">
        <f t="shared" si="52"/>
        <v>#DIV/0!</v>
      </c>
      <c r="G172" s="888" t="e">
        <f t="shared" si="52"/>
        <v>#DIV/0!</v>
      </c>
      <c r="H172" s="888" t="e">
        <f t="shared" si="52"/>
        <v>#DIV/0!</v>
      </c>
      <c r="I172" s="888" t="e">
        <f t="shared" si="52"/>
        <v>#DIV/0!</v>
      </c>
      <c r="J172" s="888" t="e">
        <f t="shared" si="52"/>
        <v>#DIV/0!</v>
      </c>
    </row>
    <row r="173" spans="1:10">
      <c r="A173" s="875">
        <f>A172+1</f>
        <v>117</v>
      </c>
      <c r="B173" s="460" t="str">
        <f>"Common Equity Capital Cost Rate (Ln "&amp;A157&amp;" * Ln "&amp;A168&amp;")"</f>
        <v>Common Equity Capital Cost Rate (Ln 107 * Ln 114)</v>
      </c>
      <c r="C173" s="892" t="e">
        <f>C157*C168</f>
        <v>#DIV/0!</v>
      </c>
      <c r="D173" s="892"/>
      <c r="E173" s="892" t="e">
        <f t="shared" ref="E173:J173" si="53">E157*E168</f>
        <v>#DIV/0!</v>
      </c>
      <c r="F173" s="892" t="e">
        <f t="shared" si="53"/>
        <v>#DIV/0!</v>
      </c>
      <c r="G173" s="892" t="e">
        <f t="shared" si="53"/>
        <v>#DIV/0!</v>
      </c>
      <c r="H173" s="892" t="e">
        <f t="shared" si="53"/>
        <v>#DIV/0!</v>
      </c>
      <c r="I173" s="892" t="e">
        <f t="shared" si="53"/>
        <v>#DIV/0!</v>
      </c>
      <c r="J173" s="892" t="e">
        <f t="shared" si="53"/>
        <v>#DIV/0!</v>
      </c>
    </row>
    <row r="174" spans="1:10">
      <c r="A174" s="875">
        <f>A173+1</f>
        <v>118</v>
      </c>
      <c r="B174" s="893" t="s">
        <v>536</v>
      </c>
      <c r="C174" s="894" t="e">
        <f t="shared" ref="C174:J174" si="54">SUM(C171:C173)</f>
        <v>#DIV/0!</v>
      </c>
      <c r="D174" s="894"/>
      <c r="E174" s="894" t="e">
        <f t="shared" si="54"/>
        <v>#DIV/0!</v>
      </c>
      <c r="F174" s="894" t="e">
        <f t="shared" si="54"/>
        <v>#DIV/0!</v>
      </c>
      <c r="G174" s="894" t="e">
        <f t="shared" si="54"/>
        <v>#DIV/0!</v>
      </c>
      <c r="H174" s="894" t="e">
        <f t="shared" si="54"/>
        <v>#DIV/0!</v>
      </c>
      <c r="I174" s="894" t="e">
        <f t="shared" si="54"/>
        <v>#DIV/0!</v>
      </c>
      <c r="J174" s="894" t="e">
        <f t="shared" si="54"/>
        <v>#DIV/0!</v>
      </c>
    </row>
    <row r="177" spans="1:10">
      <c r="A177" s="1594" t="s">
        <v>515</v>
      </c>
      <c r="B177" s="1594"/>
      <c r="C177" s="1594"/>
      <c r="D177" s="1594"/>
      <c r="E177" s="1594"/>
      <c r="F177" s="1594"/>
      <c r="G177" s="1594"/>
      <c r="H177" s="1594"/>
      <c r="I177" s="1594"/>
      <c r="J177" s="1594"/>
    </row>
    <row r="178" spans="1:10">
      <c r="A178" s="1594" t="s">
        <v>540</v>
      </c>
      <c r="B178" s="1594"/>
      <c r="C178" s="1594"/>
      <c r="D178" s="1594"/>
      <c r="E178" s="1594"/>
      <c r="F178" s="1594"/>
      <c r="G178" s="1594"/>
      <c r="H178" s="1594"/>
      <c r="I178" s="1594"/>
      <c r="J178" s="1594"/>
    </row>
    <row r="179" spans="1:10">
      <c r="A179" s="1594" t="s">
        <v>260</v>
      </c>
      <c r="B179" s="1594"/>
      <c r="C179" s="1594"/>
      <c r="D179" s="1594"/>
      <c r="E179" s="1594"/>
      <c r="F179" s="1594"/>
      <c r="G179" s="1594"/>
      <c r="H179" s="1594"/>
      <c r="I179" s="1594"/>
      <c r="J179" s="1594"/>
    </row>
    <row r="181" spans="1:10" ht="76.5">
      <c r="A181" s="875" t="s">
        <v>469</v>
      </c>
      <c r="C181" s="876" t="s">
        <v>516</v>
      </c>
      <c r="D181" s="876"/>
      <c r="E181" s="876" t="s">
        <v>517</v>
      </c>
      <c r="F181" s="876" t="s">
        <v>518</v>
      </c>
      <c r="G181" s="876" t="s">
        <v>519</v>
      </c>
      <c r="H181" s="876" t="s">
        <v>520</v>
      </c>
      <c r="I181" s="876" t="s">
        <v>521</v>
      </c>
      <c r="J181" s="876" t="s">
        <v>522</v>
      </c>
    </row>
    <row r="182" spans="1:10" ht="15">
      <c r="A182" s="837" t="s">
        <v>541</v>
      </c>
    </row>
    <row r="183" spans="1:10">
      <c r="A183" s="875">
        <f>A174+1</f>
        <v>119</v>
      </c>
      <c r="B183" s="841" t="str">
        <f>"Average Bonds (Ln "&amp;A9&amp;" + Ln "&amp;A96&amp;") / 2"</f>
        <v>Average Bonds (Ln 1 + Ln 60) / 2</v>
      </c>
      <c r="C183" s="824" t="e">
        <f t="shared" ref="C183:I187" si="55">AVERAGE(C9,C96)</f>
        <v>#DIV/0!</v>
      </c>
      <c r="D183" s="824"/>
      <c r="E183" s="824" t="e">
        <f t="shared" si="55"/>
        <v>#DIV/0!</v>
      </c>
      <c r="F183" s="824" t="e">
        <f t="shared" si="55"/>
        <v>#DIV/0!</v>
      </c>
      <c r="G183" s="824" t="e">
        <f t="shared" si="55"/>
        <v>#DIV/0!</v>
      </c>
      <c r="H183" s="824" t="e">
        <f t="shared" si="55"/>
        <v>#DIV/0!</v>
      </c>
      <c r="I183" s="824" t="e">
        <f t="shared" si="55"/>
        <v>#DIV/0!</v>
      </c>
      <c r="J183" s="824" t="e">
        <f>SUM(C183:I183)</f>
        <v>#DIV/0!</v>
      </c>
    </row>
    <row r="184" spans="1:10">
      <c r="A184" s="875">
        <f>A183+1</f>
        <v>120</v>
      </c>
      <c r="B184" s="841" t="str">
        <f>"Less: Average Reacquired Bonds (Ln "&amp;A10&amp;" + Ln "&amp;A97&amp;") / 2"</f>
        <v>Less: Average Reacquired Bonds (Ln 2 + Ln 61) / 2</v>
      </c>
      <c r="C184" s="824" t="e">
        <f t="shared" si="55"/>
        <v>#DIV/0!</v>
      </c>
      <c r="D184" s="824"/>
      <c r="E184" s="824" t="e">
        <f t="shared" si="55"/>
        <v>#DIV/0!</v>
      </c>
      <c r="F184" s="824" t="e">
        <f t="shared" si="55"/>
        <v>#DIV/0!</v>
      </c>
      <c r="G184" s="824" t="e">
        <f t="shared" si="55"/>
        <v>#DIV/0!</v>
      </c>
      <c r="H184" s="824" t="e">
        <f t="shared" si="55"/>
        <v>#DIV/0!</v>
      </c>
      <c r="I184" s="824" t="e">
        <f t="shared" si="55"/>
        <v>#DIV/0!</v>
      </c>
      <c r="J184" s="824" t="e">
        <f>SUM(C184:I184)</f>
        <v>#DIV/0!</v>
      </c>
    </row>
    <row r="185" spans="1:10">
      <c r="A185" s="875">
        <f>A184+1</f>
        <v>121</v>
      </c>
      <c r="B185" s="842" t="str">
        <f>"Average LT Advances from Assoc. Companies (Ln "&amp;A11&amp;" + Ln "&amp;A98&amp;") / 2"</f>
        <v>Average LT Advances from Assoc. Companies (Ln 3 + Ln 62) / 2</v>
      </c>
      <c r="C185" s="824" t="e">
        <f t="shared" si="55"/>
        <v>#DIV/0!</v>
      </c>
      <c r="D185" s="824"/>
      <c r="E185" s="824" t="e">
        <f t="shared" si="55"/>
        <v>#DIV/0!</v>
      </c>
      <c r="F185" s="824" t="e">
        <f t="shared" si="55"/>
        <v>#DIV/0!</v>
      </c>
      <c r="G185" s="824" t="e">
        <f t="shared" si="55"/>
        <v>#DIV/0!</v>
      </c>
      <c r="H185" s="824" t="e">
        <f t="shared" si="55"/>
        <v>#DIV/0!</v>
      </c>
      <c r="I185" s="824" t="e">
        <f t="shared" si="55"/>
        <v>#DIV/0!</v>
      </c>
      <c r="J185" s="824" t="e">
        <f>SUM(C185:I185)</f>
        <v>#DIV/0!</v>
      </c>
    </row>
    <row r="186" spans="1:10">
      <c r="A186" s="875">
        <f>A185+1</f>
        <v>122</v>
      </c>
      <c r="B186" s="842" t="str">
        <f>"Average Senior Unsecured Notes (Ln "&amp;A12&amp;" + Ln "&amp;A99&amp;") / 2"</f>
        <v>Average Senior Unsecured Notes (Ln 4 + Ln 63) / 2</v>
      </c>
      <c r="C186" s="824" t="e">
        <f t="shared" si="55"/>
        <v>#DIV/0!</v>
      </c>
      <c r="D186" s="824"/>
      <c r="E186" s="824" t="e">
        <f t="shared" si="55"/>
        <v>#DIV/0!</v>
      </c>
      <c r="F186" s="824" t="e">
        <f t="shared" si="55"/>
        <v>#DIV/0!</v>
      </c>
      <c r="G186" s="824" t="e">
        <f t="shared" si="55"/>
        <v>#DIV/0!</v>
      </c>
      <c r="H186" s="824" t="e">
        <f t="shared" si="55"/>
        <v>#DIV/0!</v>
      </c>
      <c r="I186" s="824" t="e">
        <f t="shared" si="55"/>
        <v>#DIV/0!</v>
      </c>
      <c r="J186" s="824" t="e">
        <f>SUM(C186:I186)</f>
        <v>#DIV/0!</v>
      </c>
    </row>
    <row r="187" spans="1:10">
      <c r="A187" s="875">
        <f>A186+1</f>
        <v>123</v>
      </c>
      <c r="B187" s="842" t="str">
        <f>"Less: Average Fair Value Hedges (See Note on Ln "&amp;A190&amp;" below)"</f>
        <v>Less: Average Fair Value Hedges (See Note on Ln 125 below)</v>
      </c>
      <c r="C187" s="895" t="e">
        <f t="shared" si="55"/>
        <v>#DIV/0!</v>
      </c>
      <c r="D187" s="895"/>
      <c r="E187" s="895" t="e">
        <f t="shared" si="55"/>
        <v>#DIV/0!</v>
      </c>
      <c r="F187" s="895" t="e">
        <f t="shared" si="55"/>
        <v>#DIV/0!</v>
      </c>
      <c r="G187" s="895" t="e">
        <f t="shared" si="55"/>
        <v>#DIV/0!</v>
      </c>
      <c r="H187" s="895" t="e">
        <f t="shared" si="55"/>
        <v>#DIV/0!</v>
      </c>
      <c r="I187" s="895" t="e">
        <f t="shared" si="55"/>
        <v>#DIV/0!</v>
      </c>
      <c r="J187" s="877" t="e">
        <f>SUM(C187:I187)</f>
        <v>#DIV/0!</v>
      </c>
    </row>
    <row r="188" spans="1:10">
      <c r="A188" s="875">
        <f>A187+1</f>
        <v>124</v>
      </c>
      <c r="B188" s="843" t="s">
        <v>542</v>
      </c>
      <c r="C188" s="878" t="e">
        <f t="shared" ref="C188:J188" si="56">C183-C184+C185+C186-C187</f>
        <v>#DIV/0!</v>
      </c>
      <c r="D188" s="878"/>
      <c r="E188" s="878" t="e">
        <f t="shared" si="56"/>
        <v>#DIV/0!</v>
      </c>
      <c r="F188" s="878" t="e">
        <f t="shared" si="56"/>
        <v>#DIV/0!</v>
      </c>
      <c r="G188" s="878" t="e">
        <f t="shared" si="56"/>
        <v>#DIV/0!</v>
      </c>
      <c r="H188" s="878" t="e">
        <f t="shared" si="56"/>
        <v>#DIV/0!</v>
      </c>
      <c r="I188" s="878" t="e">
        <f t="shared" si="56"/>
        <v>#DIV/0!</v>
      </c>
      <c r="J188" s="878" t="e">
        <f t="shared" si="56"/>
        <v>#DIV/0!</v>
      </c>
    </row>
    <row r="190" spans="1:10" s="889" customFormat="1">
      <c r="A190" s="889">
        <f>A188+1</f>
        <v>125</v>
      </c>
      <c r="B190" s="1593" t="s">
        <v>67</v>
      </c>
      <c r="C190" s="1593"/>
      <c r="D190" s="1593"/>
      <c r="E190" s="1593"/>
      <c r="F190" s="1593"/>
      <c r="G190" s="1593"/>
      <c r="H190" s="1593"/>
      <c r="I190" s="1593"/>
      <c r="J190" s="1593"/>
    </row>
    <row r="191" spans="1:10" s="889" customFormat="1">
      <c r="A191" s="896"/>
      <c r="B191" s="879"/>
      <c r="C191" s="879"/>
      <c r="D191" s="879"/>
      <c r="E191" s="879"/>
      <c r="F191" s="879"/>
      <c r="G191" s="879"/>
      <c r="H191" s="879"/>
      <c r="I191" s="879"/>
      <c r="J191" s="879"/>
    </row>
    <row r="192" spans="1:10" ht="15">
      <c r="A192" s="837" t="e">
        <f>"Development of "&amp;TCOS!#REF!&amp;" Long Term Debt Interest Expense"</f>
        <v>#REF!</v>
      </c>
      <c r="B192" s="889"/>
      <c r="C192" s="889"/>
      <c r="D192" s="889"/>
      <c r="E192" s="889"/>
      <c r="F192" s="889"/>
      <c r="G192" s="889"/>
      <c r="H192" s="889"/>
      <c r="I192" s="889"/>
      <c r="J192" s="889"/>
    </row>
    <row r="193" spans="1:10">
      <c r="A193" s="889">
        <f>A190+1</f>
        <v>126</v>
      </c>
      <c r="B193" s="842" t="str">
        <f t="shared" ref="B193:I193" si="57">B19</f>
        <v>Interest on Long Term Debt (256-257.33.i)</v>
      </c>
      <c r="C193" s="481">
        <f t="shared" si="57"/>
        <v>0</v>
      </c>
      <c r="D193" s="481"/>
      <c r="E193" s="481">
        <f t="shared" si="57"/>
        <v>0</v>
      </c>
      <c r="F193" s="481">
        <f t="shared" si="57"/>
        <v>0</v>
      </c>
      <c r="G193" s="481">
        <f t="shared" si="57"/>
        <v>0</v>
      </c>
      <c r="H193" s="481">
        <f t="shared" si="57"/>
        <v>0</v>
      </c>
      <c r="I193" s="481">
        <f t="shared" si="57"/>
        <v>0</v>
      </c>
      <c r="J193" s="481">
        <f t="shared" ref="J193:J198" si="58">SUM(C193:I193)</f>
        <v>0</v>
      </c>
    </row>
    <row r="194" spans="1:10">
      <c r="A194" s="889">
        <f t="shared" ref="A194:A199" si="59">A193+1</f>
        <v>127</v>
      </c>
      <c r="B194" s="842" t="str">
        <f t="shared" ref="B194:C198" si="60">B20</f>
        <v>Amort of Debt Discount &amp; Expense (117.63.c)</v>
      </c>
      <c r="C194" s="481">
        <f>C20</f>
        <v>0</v>
      </c>
      <c r="D194" s="481"/>
      <c r="E194" s="481">
        <f t="shared" ref="E194:I195" si="61">E20</f>
        <v>0</v>
      </c>
      <c r="F194" s="481">
        <f t="shared" si="61"/>
        <v>0</v>
      </c>
      <c r="G194" s="481">
        <f t="shared" si="61"/>
        <v>0</v>
      </c>
      <c r="H194" s="481">
        <f t="shared" si="61"/>
        <v>0</v>
      </c>
      <c r="I194" s="481">
        <f t="shared" si="61"/>
        <v>0</v>
      </c>
      <c r="J194" s="481">
        <f t="shared" si="58"/>
        <v>0</v>
      </c>
    </row>
    <row r="195" spans="1:10">
      <c r="A195" s="889">
        <f t="shared" si="59"/>
        <v>128</v>
      </c>
      <c r="B195" s="842" t="str">
        <f t="shared" si="60"/>
        <v>Amort of Loss on Reacquired Debt (117.64.c)</v>
      </c>
      <c r="C195" s="481">
        <f t="shared" si="60"/>
        <v>0</v>
      </c>
      <c r="D195" s="481"/>
      <c r="E195" s="481">
        <f t="shared" si="61"/>
        <v>0</v>
      </c>
      <c r="F195" s="481">
        <f t="shared" si="61"/>
        <v>0</v>
      </c>
      <c r="G195" s="481">
        <f t="shared" si="61"/>
        <v>0</v>
      </c>
      <c r="H195" s="481">
        <f t="shared" si="61"/>
        <v>0</v>
      </c>
      <c r="I195" s="481">
        <f t="shared" si="61"/>
        <v>0</v>
      </c>
      <c r="J195" s="481">
        <f t="shared" si="58"/>
        <v>0</v>
      </c>
    </row>
    <row r="196" spans="1:10">
      <c r="A196" s="889">
        <f t="shared" si="59"/>
        <v>129</v>
      </c>
      <c r="B196" s="842" t="str">
        <f>B22</f>
        <v>Less: Amort of Premium on Debt (117.65.c)</v>
      </c>
      <c r="C196" s="481">
        <f t="shared" ref="C196:I196" si="62">C22</f>
        <v>0</v>
      </c>
      <c r="D196" s="481"/>
      <c r="E196" s="481">
        <f t="shared" si="62"/>
        <v>0</v>
      </c>
      <c r="F196" s="481">
        <f t="shared" si="62"/>
        <v>0</v>
      </c>
      <c r="G196" s="481">
        <f t="shared" si="62"/>
        <v>0</v>
      </c>
      <c r="H196" s="481">
        <f t="shared" si="62"/>
        <v>0</v>
      </c>
      <c r="I196" s="481">
        <f t="shared" si="62"/>
        <v>0</v>
      </c>
      <c r="J196" s="824">
        <f t="shared" si="58"/>
        <v>0</v>
      </c>
    </row>
    <row r="197" spans="1:10">
      <c r="A197" s="889">
        <f t="shared" si="59"/>
        <v>130</v>
      </c>
      <c r="B197" s="842" t="str">
        <f t="shared" si="60"/>
        <v>Less: Amort of Gain on Reacquired Debt (117.66.c)</v>
      </c>
      <c r="C197" s="481">
        <f>C23</f>
        <v>0</v>
      </c>
      <c r="D197" s="481"/>
      <c r="E197" s="481">
        <f t="shared" ref="E197:I198" si="63">E23</f>
        <v>0</v>
      </c>
      <c r="F197" s="481">
        <f t="shared" si="63"/>
        <v>0</v>
      </c>
      <c r="G197" s="481">
        <f t="shared" si="63"/>
        <v>0</v>
      </c>
      <c r="H197" s="481">
        <f t="shared" si="63"/>
        <v>0</v>
      </c>
      <c r="I197" s="481">
        <f t="shared" si="63"/>
        <v>0</v>
      </c>
      <c r="J197" s="824">
        <f t="shared" si="58"/>
        <v>0</v>
      </c>
    </row>
    <row r="198" spans="1:10">
      <c r="A198" s="889">
        <f t="shared" si="59"/>
        <v>131</v>
      </c>
      <c r="B198" s="897" t="str">
        <f t="shared" si="60"/>
        <v>Less: Hedge Interest on pp 256-257(i)</v>
      </c>
      <c r="C198" s="895">
        <f>C24</f>
        <v>0</v>
      </c>
      <c r="D198" s="895"/>
      <c r="E198" s="895">
        <f t="shared" si="63"/>
        <v>0</v>
      </c>
      <c r="F198" s="895">
        <f t="shared" si="63"/>
        <v>0</v>
      </c>
      <c r="G198" s="895">
        <f t="shared" si="63"/>
        <v>0</v>
      </c>
      <c r="H198" s="895">
        <f t="shared" si="63"/>
        <v>0</v>
      </c>
      <c r="I198" s="895">
        <f t="shared" si="63"/>
        <v>0</v>
      </c>
      <c r="J198" s="877">
        <f t="shared" si="58"/>
        <v>0</v>
      </c>
    </row>
    <row r="199" spans="1:10">
      <c r="A199" s="889">
        <f t="shared" si="59"/>
        <v>132</v>
      </c>
      <c r="B199" s="898" t="e">
        <f>""&amp;TCOS!#REF!&amp;" LTD Interest Expense"</f>
        <v>#REF!</v>
      </c>
      <c r="C199" s="899">
        <f t="shared" ref="C199:J199" si="64">C193+C194+C195-C196-C197-C198</f>
        <v>0</v>
      </c>
      <c r="D199" s="899"/>
      <c r="E199" s="899">
        <f t="shared" si="64"/>
        <v>0</v>
      </c>
      <c r="F199" s="899">
        <f t="shared" si="64"/>
        <v>0</v>
      </c>
      <c r="G199" s="899">
        <f t="shared" si="64"/>
        <v>0</v>
      </c>
      <c r="H199" s="899">
        <f t="shared" si="64"/>
        <v>0</v>
      </c>
      <c r="I199" s="899">
        <f t="shared" si="64"/>
        <v>0</v>
      </c>
      <c r="J199" s="899">
        <f t="shared" si="64"/>
        <v>0</v>
      </c>
    </row>
    <row r="200" spans="1:10">
      <c r="A200" s="889"/>
      <c r="B200" s="889"/>
      <c r="C200" s="889"/>
      <c r="D200" s="889"/>
      <c r="E200" s="889"/>
      <c r="F200" s="889"/>
      <c r="G200" s="889"/>
      <c r="H200" s="889"/>
      <c r="I200" s="889"/>
      <c r="J200" s="889"/>
    </row>
    <row r="201" spans="1:10" ht="15">
      <c r="A201" s="837" t="e">
        <f>""&amp;TCOS!#REF!&amp;" Cost of Preferred Stock and Preferred Dividends"</f>
        <v>#REF!</v>
      </c>
      <c r="B201" s="900"/>
      <c r="C201" s="900"/>
      <c r="D201" s="900"/>
      <c r="E201" s="900"/>
      <c r="F201" s="889"/>
      <c r="G201" s="889"/>
      <c r="H201" s="889"/>
      <c r="I201" s="889"/>
      <c r="J201" s="889"/>
    </row>
    <row r="202" spans="1:10">
      <c r="A202" s="889">
        <f>A199+1</f>
        <v>133</v>
      </c>
      <c r="B202" s="460" t="str">
        <f>"Average Balance of Preferred Stock (Ln "&amp;A52&amp;" + Ln "&amp;A139&amp;") / 2"</f>
        <v>Average Balance of Preferred Stock (Ln 35 + Ln 94) / 2</v>
      </c>
      <c r="C202" s="899">
        <f>AVERAGE(C52,C139)</f>
        <v>0</v>
      </c>
      <c r="D202" s="899"/>
      <c r="E202" s="899">
        <f t="shared" ref="E202:J202" si="65">AVERAGE(E52,E139)</f>
        <v>0</v>
      </c>
      <c r="F202" s="899">
        <f t="shared" si="65"/>
        <v>0</v>
      </c>
      <c r="G202" s="899">
        <f t="shared" si="65"/>
        <v>0</v>
      </c>
      <c r="H202" s="899">
        <f t="shared" si="65"/>
        <v>0</v>
      </c>
      <c r="I202" s="899">
        <f t="shared" si="65"/>
        <v>0</v>
      </c>
      <c r="J202" s="899">
        <f t="shared" si="65"/>
        <v>0</v>
      </c>
    </row>
    <row r="203" spans="1:10">
      <c r="A203" s="889">
        <f>A202+1</f>
        <v>134</v>
      </c>
      <c r="B203" s="460" t="e">
        <f>""&amp;TCOS!#REF!&amp;" Preferred Dividends (Ln "&amp;A53&amp;")"</f>
        <v>#REF!</v>
      </c>
      <c r="C203" s="899">
        <f>C53</f>
        <v>0</v>
      </c>
      <c r="D203" s="899"/>
      <c r="E203" s="899">
        <f t="shared" ref="E203:J203" si="66">E53</f>
        <v>0</v>
      </c>
      <c r="F203" s="899">
        <f t="shared" si="66"/>
        <v>0</v>
      </c>
      <c r="G203" s="899">
        <f t="shared" si="66"/>
        <v>0</v>
      </c>
      <c r="H203" s="899">
        <f t="shared" si="66"/>
        <v>0</v>
      </c>
      <c r="I203" s="899">
        <f t="shared" si="66"/>
        <v>0</v>
      </c>
      <c r="J203" s="899">
        <f t="shared" si="66"/>
        <v>0</v>
      </c>
    </row>
    <row r="204" spans="1:10">
      <c r="B204" s="896"/>
    </row>
    <row r="205" spans="1:10" ht="15">
      <c r="A205" s="837" t="s">
        <v>543</v>
      </c>
    </row>
    <row r="206" spans="1:10">
      <c r="A206" s="875">
        <f>A203+1</f>
        <v>135</v>
      </c>
      <c r="B206" s="656" t="str">
        <f>"Average Proprietary Capital (Ln "&amp;A56&amp;" + Ln "&amp;A143&amp;") / 2"</f>
        <v>Average Proprietary Capital (Ln 37 + Ln 96) / 2</v>
      </c>
      <c r="C206" s="481" t="e">
        <f t="shared" ref="C206:I206" si="67">AVERAGE(C56,C143)</f>
        <v>#DIV/0!</v>
      </c>
      <c r="D206" s="481"/>
      <c r="E206" s="481" t="e">
        <f t="shared" si="67"/>
        <v>#DIV/0!</v>
      </c>
      <c r="F206" s="481" t="e">
        <f t="shared" si="67"/>
        <v>#DIV/0!</v>
      </c>
      <c r="G206" s="481" t="e">
        <f t="shared" si="67"/>
        <v>#DIV/0!</v>
      </c>
      <c r="H206" s="481" t="e">
        <f t="shared" si="67"/>
        <v>#DIV/0!</v>
      </c>
      <c r="I206" s="481" t="e">
        <f t="shared" si="67"/>
        <v>#DIV/0!</v>
      </c>
      <c r="J206" s="882" t="e">
        <f>SUM(C206:I206)</f>
        <v>#DIV/0!</v>
      </c>
    </row>
    <row r="207" spans="1:10">
      <c r="A207" s="875">
        <f>A206+1</f>
        <v>136</v>
      </c>
      <c r="B207" s="656" t="str">
        <f>"Less: Average Preferred Stock (Ln "&amp;A202&amp;" Above)"</f>
        <v>Less: Average Preferred Stock (Ln 133 Above)</v>
      </c>
      <c r="C207" s="481">
        <f t="shared" ref="C207:H207" si="68">C202</f>
        <v>0</v>
      </c>
      <c r="D207" s="481"/>
      <c r="E207" s="481">
        <f t="shared" si="68"/>
        <v>0</v>
      </c>
      <c r="F207" s="481">
        <f t="shared" si="68"/>
        <v>0</v>
      </c>
      <c r="G207" s="481">
        <f t="shared" si="68"/>
        <v>0</v>
      </c>
      <c r="H207" s="481">
        <f t="shared" si="68"/>
        <v>0</v>
      </c>
      <c r="I207" s="481">
        <f>I202</f>
        <v>0</v>
      </c>
      <c r="J207" s="882">
        <f>SUM(C207:I207)</f>
        <v>0</v>
      </c>
    </row>
    <row r="208" spans="1:10">
      <c r="A208" s="875">
        <f>A207+1</f>
        <v>137</v>
      </c>
      <c r="B208" s="656" t="str">
        <f>"Less: Average Account 216.1 (Ln "&amp;A58&amp;" + Ln "&amp;A145&amp;") / 2"</f>
        <v>Less: Average Account 216.1 (Ln 39 + Ln 98) / 2</v>
      </c>
      <c r="C208" s="481" t="e">
        <f t="shared" ref="C208:I209" si="69">AVERAGE(C58,C145)</f>
        <v>#DIV/0!</v>
      </c>
      <c r="D208" s="481"/>
      <c r="E208" s="481" t="e">
        <f t="shared" si="69"/>
        <v>#DIV/0!</v>
      </c>
      <c r="F208" s="481" t="e">
        <f t="shared" si="69"/>
        <v>#DIV/0!</v>
      </c>
      <c r="G208" s="481" t="e">
        <f t="shared" si="69"/>
        <v>#DIV/0!</v>
      </c>
      <c r="H208" s="481" t="e">
        <f t="shared" si="69"/>
        <v>#DIV/0!</v>
      </c>
      <c r="I208" s="481" t="e">
        <f t="shared" si="69"/>
        <v>#DIV/0!</v>
      </c>
      <c r="J208" s="882" t="e">
        <f>SUM(C208:I208)</f>
        <v>#DIV/0!</v>
      </c>
    </row>
    <row r="209" spans="1:12">
      <c r="A209" s="875">
        <f>A208+1</f>
        <v>138</v>
      </c>
      <c r="B209" s="656" t="str">
        <f>"Less: Average Account 219.1 (Ln "&amp;A59&amp;" + Ln "&amp;A146&amp;") / 2"</f>
        <v>Less: Average Account 219.1 (Ln 40 + Ln 99) / 2</v>
      </c>
      <c r="C209" s="895" t="e">
        <f t="shared" si="69"/>
        <v>#DIV/0!</v>
      </c>
      <c r="D209" s="895"/>
      <c r="E209" s="895" t="e">
        <f t="shared" si="69"/>
        <v>#DIV/0!</v>
      </c>
      <c r="F209" s="895" t="e">
        <f t="shared" si="69"/>
        <v>#DIV/0!</v>
      </c>
      <c r="G209" s="895" t="e">
        <f t="shared" si="69"/>
        <v>#DIV/0!</v>
      </c>
      <c r="H209" s="895" t="e">
        <f t="shared" si="69"/>
        <v>#DIV/0!</v>
      </c>
      <c r="I209" s="895" t="e">
        <f t="shared" si="69"/>
        <v>#DIV/0!</v>
      </c>
      <c r="J209" s="887" t="e">
        <f>SUM(C209:I209)</f>
        <v>#DIV/0!</v>
      </c>
    </row>
    <row r="210" spans="1:12">
      <c r="A210" s="875">
        <f>A209+1</f>
        <v>139</v>
      </c>
      <c r="B210" s="839" t="s">
        <v>341</v>
      </c>
      <c r="C210" s="824" t="e">
        <f t="shared" ref="C210:J210" si="70">C206-C207-C208-C209</f>
        <v>#DIV/0!</v>
      </c>
      <c r="D210" s="824"/>
      <c r="E210" s="824" t="e">
        <f t="shared" si="70"/>
        <v>#DIV/0!</v>
      </c>
      <c r="F210" s="824" t="e">
        <f t="shared" si="70"/>
        <v>#DIV/0!</v>
      </c>
      <c r="G210" s="824" t="e">
        <f t="shared" si="70"/>
        <v>#DIV/0!</v>
      </c>
      <c r="H210" s="824" t="e">
        <f t="shared" si="70"/>
        <v>#DIV/0!</v>
      </c>
      <c r="I210" s="824" t="e">
        <f t="shared" si="70"/>
        <v>#DIV/0!</v>
      </c>
      <c r="J210" s="824" t="e">
        <f t="shared" si="70"/>
        <v>#DIV/0!</v>
      </c>
    </row>
    <row r="212" spans="1:12" ht="15">
      <c r="A212" s="837" t="s">
        <v>535</v>
      </c>
    </row>
    <row r="213" spans="1:12">
      <c r="A213" s="875">
        <f>A210+1</f>
        <v>140</v>
      </c>
      <c r="B213" s="460" t="str">
        <f>"Average Balance of Long Term Debt (Ln "&amp;A188&amp;" Above)"</f>
        <v>Average Balance of Long Term Debt (Ln 124 Above)</v>
      </c>
      <c r="C213" s="882" t="e">
        <f t="shared" ref="C213:J213" si="71">C188</f>
        <v>#DIV/0!</v>
      </c>
      <c r="D213" s="882"/>
      <c r="E213" s="882" t="e">
        <f t="shared" si="71"/>
        <v>#DIV/0!</v>
      </c>
      <c r="F213" s="882" t="e">
        <f t="shared" si="71"/>
        <v>#DIV/0!</v>
      </c>
      <c r="G213" s="882" t="e">
        <f t="shared" si="71"/>
        <v>#DIV/0!</v>
      </c>
      <c r="H213" s="882" t="e">
        <f t="shared" si="71"/>
        <v>#DIV/0!</v>
      </c>
      <c r="I213" s="882" t="e">
        <f t="shared" si="71"/>
        <v>#DIV/0!</v>
      </c>
      <c r="J213" s="882" t="e">
        <f t="shared" si="71"/>
        <v>#DIV/0!</v>
      </c>
    </row>
    <row r="214" spans="1:12">
      <c r="A214" s="875">
        <f>A213+1</f>
        <v>141</v>
      </c>
      <c r="B214" s="460" t="str">
        <f>"Average Balance of Preferred Stock (Ln "&amp;A202&amp;" Above)"</f>
        <v>Average Balance of Preferred Stock (Ln 133 Above)</v>
      </c>
      <c r="C214" s="882">
        <f t="shared" ref="C214:J214" si="72">C202</f>
        <v>0</v>
      </c>
      <c r="D214" s="882"/>
      <c r="E214" s="882">
        <f t="shared" si="72"/>
        <v>0</v>
      </c>
      <c r="F214" s="882">
        <f t="shared" si="72"/>
        <v>0</v>
      </c>
      <c r="G214" s="882">
        <f t="shared" si="72"/>
        <v>0</v>
      </c>
      <c r="H214" s="882">
        <f t="shared" si="72"/>
        <v>0</v>
      </c>
      <c r="I214" s="882">
        <f t="shared" si="72"/>
        <v>0</v>
      </c>
      <c r="J214" s="882">
        <f t="shared" si="72"/>
        <v>0</v>
      </c>
    </row>
    <row r="215" spans="1:12">
      <c r="A215" s="875">
        <f>A214+1</f>
        <v>142</v>
      </c>
      <c r="B215" s="460" t="str">
        <f>"Average Balance of Common Equity (Ln "&amp;A210&amp;" Above)"</f>
        <v>Average Balance of Common Equity (Ln 139 Above)</v>
      </c>
      <c r="C215" s="887" t="e">
        <f t="shared" ref="C215:J215" si="73">C210</f>
        <v>#DIV/0!</v>
      </c>
      <c r="D215" s="887"/>
      <c r="E215" s="887" t="e">
        <f t="shared" si="73"/>
        <v>#DIV/0!</v>
      </c>
      <c r="F215" s="887" t="e">
        <f t="shared" si="73"/>
        <v>#DIV/0!</v>
      </c>
      <c r="G215" s="887" t="e">
        <f t="shared" si="73"/>
        <v>#DIV/0!</v>
      </c>
      <c r="H215" s="887" t="e">
        <f t="shared" si="73"/>
        <v>#DIV/0!</v>
      </c>
      <c r="I215" s="887" t="e">
        <f t="shared" si="73"/>
        <v>#DIV/0!</v>
      </c>
      <c r="J215" s="887" t="e">
        <f t="shared" si="73"/>
        <v>#DIV/0!</v>
      </c>
    </row>
    <row r="216" spans="1:12">
      <c r="A216" s="875">
        <f>A215+1</f>
        <v>143</v>
      </c>
      <c r="B216" s="875" t="s">
        <v>544</v>
      </c>
      <c r="C216" s="882" t="e">
        <f t="shared" ref="C216:J216" si="74">SUM(C213:C215)</f>
        <v>#DIV/0!</v>
      </c>
      <c r="D216" s="882"/>
      <c r="E216" s="882" t="e">
        <f t="shared" si="74"/>
        <v>#DIV/0!</v>
      </c>
      <c r="F216" s="882" t="e">
        <f t="shared" si="74"/>
        <v>#DIV/0!</v>
      </c>
      <c r="G216" s="882" t="e">
        <f t="shared" si="74"/>
        <v>#DIV/0!</v>
      </c>
      <c r="H216" s="882" t="e">
        <f t="shared" si="74"/>
        <v>#DIV/0!</v>
      </c>
      <c r="I216" s="882" t="e">
        <f t="shared" si="74"/>
        <v>#DIV/0!</v>
      </c>
      <c r="J216" s="882" t="e">
        <f t="shared" si="74"/>
        <v>#DIV/0!</v>
      </c>
      <c r="L216" s="901"/>
    </row>
    <row r="218" spans="1:12">
      <c r="A218" s="875">
        <f>A216+1</f>
        <v>144</v>
      </c>
      <c r="B218" s="460" t="str">
        <f>"Average Balance of LTD Capital Shares (Ln "&amp;A213&amp;" / Ln "&amp;A216&amp;")"</f>
        <v>Average Balance of LTD Capital Shares (Ln 140 / Ln 143)</v>
      </c>
      <c r="C218" s="888" t="e">
        <f t="shared" ref="C218:I218" si="75">C213/C216</f>
        <v>#DIV/0!</v>
      </c>
      <c r="D218" s="888"/>
      <c r="E218" s="888" t="e">
        <f t="shared" si="75"/>
        <v>#DIV/0!</v>
      </c>
      <c r="F218" s="888" t="e">
        <f t="shared" si="75"/>
        <v>#DIV/0!</v>
      </c>
      <c r="G218" s="888" t="e">
        <f t="shared" si="75"/>
        <v>#DIV/0!</v>
      </c>
      <c r="H218" s="888" t="e">
        <f t="shared" si="75"/>
        <v>#DIV/0!</v>
      </c>
      <c r="I218" s="888" t="e">
        <f t="shared" si="75"/>
        <v>#DIV/0!</v>
      </c>
      <c r="J218" s="888" t="e">
        <f>J213/J216</f>
        <v>#DIV/0!</v>
      </c>
    </row>
    <row r="219" spans="1:12">
      <c r="A219" s="875">
        <f>A218+1</f>
        <v>145</v>
      </c>
      <c r="B219" s="460" t="str">
        <f>"Average Balance of Preferred Stock Capital Shares (Ln "&amp;A214&amp;" / Ln "&amp;A216&amp;")"</f>
        <v>Average Balance of Preferred Stock Capital Shares (Ln 141 / Ln 143)</v>
      </c>
      <c r="C219" s="888" t="e">
        <f t="shared" ref="C219:I219" si="76">C214/C216</f>
        <v>#DIV/0!</v>
      </c>
      <c r="D219" s="888"/>
      <c r="E219" s="888" t="e">
        <f t="shared" si="76"/>
        <v>#DIV/0!</v>
      </c>
      <c r="F219" s="888" t="e">
        <f t="shared" si="76"/>
        <v>#DIV/0!</v>
      </c>
      <c r="G219" s="888" t="e">
        <f t="shared" si="76"/>
        <v>#DIV/0!</v>
      </c>
      <c r="H219" s="888" t="e">
        <f t="shared" si="76"/>
        <v>#DIV/0!</v>
      </c>
      <c r="I219" s="888" t="e">
        <f t="shared" si="76"/>
        <v>#DIV/0!</v>
      </c>
      <c r="J219" s="888" t="e">
        <f>J214/J216</f>
        <v>#DIV/0!</v>
      </c>
    </row>
    <row r="220" spans="1:12">
      <c r="A220" s="889">
        <f>A219+1</f>
        <v>146</v>
      </c>
      <c r="B220" s="460" t="str">
        <f>"Average Balance of Common Equity Capital Shares (Ln "&amp;A215&amp;" / Ln "&amp;A216&amp;")"</f>
        <v>Average Balance of Common Equity Capital Shares (Ln 142 / Ln 143)</v>
      </c>
      <c r="C220" s="890" t="e">
        <f t="shared" ref="C220:I220" si="77">C215/C216</f>
        <v>#DIV/0!</v>
      </c>
      <c r="D220" s="890"/>
      <c r="E220" s="890" t="e">
        <f t="shared" si="77"/>
        <v>#DIV/0!</v>
      </c>
      <c r="F220" s="890" t="e">
        <f t="shared" si="77"/>
        <v>#DIV/0!</v>
      </c>
      <c r="G220" s="890" t="e">
        <f t="shared" si="77"/>
        <v>#DIV/0!</v>
      </c>
      <c r="H220" s="890" t="e">
        <f t="shared" si="77"/>
        <v>#DIV/0!</v>
      </c>
      <c r="I220" s="890" t="e">
        <f t="shared" si="77"/>
        <v>#DIV/0!</v>
      </c>
      <c r="J220" s="890" t="e">
        <f>J215/J216</f>
        <v>#DIV/0!</v>
      </c>
    </row>
    <row r="221" spans="1:12">
      <c r="A221" s="889"/>
      <c r="B221" s="460"/>
      <c r="C221" s="890"/>
      <c r="D221" s="890"/>
      <c r="E221" s="890"/>
      <c r="F221" s="890"/>
      <c r="G221" s="890"/>
      <c r="H221" s="890"/>
      <c r="I221" s="890"/>
      <c r="J221" s="890"/>
    </row>
    <row r="222" spans="1:12">
      <c r="A222" s="889">
        <f>A220+1</f>
        <v>147</v>
      </c>
      <c r="B222" s="838" t="s">
        <v>566</v>
      </c>
      <c r="C222" s="890"/>
      <c r="D222" s="890"/>
      <c r="E222" s="890"/>
      <c r="F222" s="890"/>
      <c r="G222" s="890"/>
      <c r="H222" s="890"/>
      <c r="I222" s="890"/>
      <c r="J222" s="890"/>
    </row>
    <row r="223" spans="1:12">
      <c r="A223" s="889"/>
      <c r="B223" s="460"/>
      <c r="C223" s="890"/>
      <c r="D223" s="890"/>
      <c r="E223" s="890"/>
      <c r="F223" s="890"/>
      <c r="G223" s="890"/>
      <c r="H223" s="890"/>
      <c r="I223" s="890"/>
      <c r="J223" s="890"/>
    </row>
    <row r="224" spans="1:12">
      <c r="A224" s="889">
        <f>A222+1</f>
        <v>148</v>
      </c>
      <c r="B224" s="838" t="s">
        <v>566</v>
      </c>
      <c r="C224" s="890"/>
      <c r="D224" s="890"/>
      <c r="E224" s="890"/>
      <c r="F224" s="890"/>
      <c r="G224" s="890"/>
      <c r="H224" s="890"/>
      <c r="I224" s="890"/>
      <c r="J224" s="890"/>
    </row>
    <row r="225" spans="1:10">
      <c r="A225" s="889">
        <f>A224+1</f>
        <v>149</v>
      </c>
      <c r="B225" s="838" t="s">
        <v>566</v>
      </c>
      <c r="C225" s="890"/>
      <c r="D225" s="890"/>
      <c r="E225" s="890"/>
      <c r="F225" s="890"/>
      <c r="G225" s="890"/>
      <c r="H225" s="890"/>
      <c r="I225" s="890"/>
      <c r="J225" s="890"/>
    </row>
    <row r="226" spans="1:10">
      <c r="A226" s="889">
        <f>A225+1</f>
        <v>150</v>
      </c>
      <c r="B226" s="838" t="s">
        <v>566</v>
      </c>
      <c r="C226" s="890"/>
      <c r="D226" s="890"/>
      <c r="E226" s="890"/>
      <c r="F226" s="890"/>
      <c r="G226" s="890"/>
      <c r="H226" s="890"/>
      <c r="I226" s="890"/>
      <c r="J226" s="890"/>
    </row>
    <row r="227" spans="1:10">
      <c r="A227" s="889"/>
      <c r="B227" s="460"/>
      <c r="C227" s="890"/>
      <c r="D227" s="890"/>
      <c r="E227" s="890"/>
      <c r="F227" s="890"/>
      <c r="G227" s="890"/>
      <c r="H227" s="890"/>
      <c r="I227" s="890"/>
      <c r="J227" s="890"/>
    </row>
    <row r="228" spans="1:10" ht="15">
      <c r="A228" s="837" t="s">
        <v>537</v>
      </c>
      <c r="B228" s="889"/>
      <c r="C228" s="889"/>
      <c r="D228" s="889"/>
      <c r="E228" s="889"/>
      <c r="F228" s="889"/>
      <c r="G228" s="889"/>
      <c r="H228" s="889"/>
      <c r="I228" s="889"/>
      <c r="J228" s="889"/>
    </row>
    <row r="229" spans="1:10">
      <c r="A229" s="889">
        <f>A226+1</f>
        <v>151</v>
      </c>
      <c r="B229" s="460" t="str">
        <f>"LTD Capital Cost Rate (Ln "&amp;A199&amp;" / Ln "&amp;A188&amp;")"</f>
        <v>LTD Capital Cost Rate (Ln 132 / Ln 124)</v>
      </c>
      <c r="C229" s="890" t="e">
        <f t="shared" ref="C229:J229" si="78">C199/C188</f>
        <v>#DIV/0!</v>
      </c>
      <c r="D229" s="890"/>
      <c r="E229" s="890" t="e">
        <f t="shared" si="78"/>
        <v>#DIV/0!</v>
      </c>
      <c r="F229" s="890" t="e">
        <f t="shared" si="78"/>
        <v>#DIV/0!</v>
      </c>
      <c r="G229" s="890" t="e">
        <f t="shared" si="78"/>
        <v>#DIV/0!</v>
      </c>
      <c r="H229" s="890" t="e">
        <f t="shared" si="78"/>
        <v>#DIV/0!</v>
      </c>
      <c r="I229" s="890" t="e">
        <f t="shared" si="78"/>
        <v>#DIV/0!</v>
      </c>
      <c r="J229" s="890" t="e">
        <f t="shared" si="78"/>
        <v>#DIV/0!</v>
      </c>
    </row>
    <row r="230" spans="1:10">
      <c r="A230" s="889">
        <f>A229+1</f>
        <v>152</v>
      </c>
      <c r="B230" s="460" t="str">
        <f>"Preferred Stock Capital Cost Rate (Ln "&amp;A203&amp;" / Ln "&amp;A202&amp;")"</f>
        <v>Preferred Stock Capital Cost Rate (Ln 134 / Ln 133)</v>
      </c>
      <c r="C230" s="890">
        <f t="shared" ref="C230:J230" si="79">IF(C202=0,0,C203/C202)</f>
        <v>0</v>
      </c>
      <c r="D230" s="890"/>
      <c r="E230" s="890">
        <f t="shared" si="79"/>
        <v>0</v>
      </c>
      <c r="F230" s="890">
        <f t="shared" si="79"/>
        <v>0</v>
      </c>
      <c r="G230" s="890">
        <f t="shared" si="79"/>
        <v>0</v>
      </c>
      <c r="H230" s="890">
        <f t="shared" si="79"/>
        <v>0</v>
      </c>
      <c r="I230" s="890">
        <f t="shared" si="79"/>
        <v>0</v>
      </c>
      <c r="J230" s="890">
        <f t="shared" si="79"/>
        <v>0</v>
      </c>
    </row>
    <row r="231" spans="1:10">
      <c r="A231" s="889">
        <f>A230+1</f>
        <v>153</v>
      </c>
      <c r="B231" s="460" t="s">
        <v>538</v>
      </c>
      <c r="C231" s="890">
        <v>0.1149</v>
      </c>
      <c r="D231" s="890"/>
      <c r="E231" s="890">
        <v>0.1149</v>
      </c>
      <c r="F231" s="890">
        <v>0.1149</v>
      </c>
      <c r="G231" s="890">
        <v>0.1149</v>
      </c>
      <c r="H231" s="890">
        <v>0.1149</v>
      </c>
      <c r="I231" s="890">
        <v>0.1149</v>
      </c>
      <c r="J231" s="890">
        <v>0.1149</v>
      </c>
    </row>
    <row r="232" spans="1:10">
      <c r="A232" s="889"/>
      <c r="B232" s="889"/>
      <c r="C232" s="889"/>
      <c r="D232" s="889"/>
      <c r="E232" s="889"/>
      <c r="F232" s="889"/>
      <c r="G232" s="889"/>
      <c r="H232" s="889"/>
      <c r="I232" s="889"/>
      <c r="J232" s="889"/>
    </row>
    <row r="233" spans="1:10" ht="15">
      <c r="A233" s="837" t="s">
        <v>539</v>
      </c>
      <c r="B233" s="889"/>
      <c r="C233" s="889"/>
      <c r="D233" s="889"/>
      <c r="E233" s="889"/>
      <c r="F233" s="889"/>
      <c r="G233" s="889"/>
      <c r="H233" s="889"/>
      <c r="I233" s="889"/>
      <c r="J233" s="889"/>
    </row>
    <row r="234" spans="1:10">
      <c r="A234" s="889">
        <f>A231+1</f>
        <v>154</v>
      </c>
      <c r="B234" s="460" t="str">
        <f>"LTD Weighted Capital Cost Rate (Ln "&amp;A218&amp;" * Ln "&amp;A229&amp;")"</f>
        <v>LTD Weighted Capital Cost Rate (Ln 144 * Ln 151)</v>
      </c>
      <c r="C234" s="890" t="e">
        <f>C218*C229</f>
        <v>#DIV/0!</v>
      </c>
      <c r="D234" s="890"/>
      <c r="E234" s="890" t="e">
        <f t="shared" ref="E234:J234" si="80">E218*E229</f>
        <v>#DIV/0!</v>
      </c>
      <c r="F234" s="890" t="e">
        <f t="shared" si="80"/>
        <v>#DIV/0!</v>
      </c>
      <c r="G234" s="890" t="e">
        <f t="shared" si="80"/>
        <v>#DIV/0!</v>
      </c>
      <c r="H234" s="890" t="e">
        <f t="shared" si="80"/>
        <v>#DIV/0!</v>
      </c>
      <c r="I234" s="890" t="e">
        <f t="shared" si="80"/>
        <v>#DIV/0!</v>
      </c>
      <c r="J234" s="890" t="e">
        <f t="shared" si="80"/>
        <v>#DIV/0!</v>
      </c>
    </row>
    <row r="235" spans="1:10">
      <c r="A235" s="889">
        <f>A234+1</f>
        <v>155</v>
      </c>
      <c r="B235" s="460" t="str">
        <f>"Preferred Stock Capital Cost Rate (Ln "&amp;A219&amp;" * Ln "&amp;A230&amp;")"</f>
        <v>Preferred Stock Capital Cost Rate (Ln 145 * Ln 152)</v>
      </c>
      <c r="C235" s="890" t="e">
        <f>C219*C230</f>
        <v>#DIV/0!</v>
      </c>
      <c r="D235" s="890"/>
      <c r="E235" s="890" t="e">
        <f t="shared" ref="E235:J235" si="81">E219*E230</f>
        <v>#DIV/0!</v>
      </c>
      <c r="F235" s="890" t="e">
        <f t="shared" si="81"/>
        <v>#DIV/0!</v>
      </c>
      <c r="G235" s="890" t="e">
        <f t="shared" si="81"/>
        <v>#DIV/0!</v>
      </c>
      <c r="H235" s="890" t="e">
        <f t="shared" si="81"/>
        <v>#DIV/0!</v>
      </c>
      <c r="I235" s="890" t="e">
        <f t="shared" si="81"/>
        <v>#DIV/0!</v>
      </c>
      <c r="J235" s="890" t="e">
        <f t="shared" si="81"/>
        <v>#DIV/0!</v>
      </c>
    </row>
    <row r="236" spans="1:10">
      <c r="A236" s="889">
        <f>A235+1</f>
        <v>156</v>
      </c>
      <c r="B236" s="460" t="str">
        <f>"Common Equity Capital Cost Rate (Ln "&amp;A220&amp;" * Ln "&amp;A231&amp;")"</f>
        <v>Common Equity Capital Cost Rate (Ln 146 * Ln 153)</v>
      </c>
      <c r="C236" s="902" t="e">
        <f>C220*C231</f>
        <v>#DIV/0!</v>
      </c>
      <c r="D236" s="902"/>
      <c r="E236" s="902" t="e">
        <f t="shared" ref="E236:J236" si="82">E220*E231</f>
        <v>#DIV/0!</v>
      </c>
      <c r="F236" s="902" t="e">
        <f t="shared" si="82"/>
        <v>#DIV/0!</v>
      </c>
      <c r="G236" s="902" t="e">
        <f t="shared" si="82"/>
        <v>#DIV/0!</v>
      </c>
      <c r="H236" s="902" t="e">
        <f t="shared" si="82"/>
        <v>#DIV/0!</v>
      </c>
      <c r="I236" s="902" t="e">
        <f t="shared" si="82"/>
        <v>#DIV/0!</v>
      </c>
      <c r="J236" s="902" t="e">
        <f t="shared" si="82"/>
        <v>#DIV/0!</v>
      </c>
    </row>
    <row r="237" spans="1:10">
      <c r="A237" s="889">
        <f>A236+1</f>
        <v>157</v>
      </c>
      <c r="B237" s="898" t="s">
        <v>71</v>
      </c>
      <c r="C237" s="903" t="e">
        <f t="shared" ref="C237:J237" si="83">SUM(C234:C236)</f>
        <v>#DIV/0!</v>
      </c>
      <c r="D237" s="903"/>
      <c r="E237" s="903" t="e">
        <f t="shared" si="83"/>
        <v>#DIV/0!</v>
      </c>
      <c r="F237" s="903" t="e">
        <f t="shared" si="83"/>
        <v>#DIV/0!</v>
      </c>
      <c r="G237" s="903" t="e">
        <f t="shared" si="83"/>
        <v>#DIV/0!</v>
      </c>
      <c r="H237" s="903" t="e">
        <f t="shared" si="83"/>
        <v>#DIV/0!</v>
      </c>
      <c r="I237" s="903" t="e">
        <f t="shared" si="83"/>
        <v>#DIV/0!</v>
      </c>
      <c r="J237" s="903" t="e">
        <f t="shared" si="83"/>
        <v>#DIV/0!</v>
      </c>
    </row>
    <row r="238" spans="1:10">
      <c r="A238" s="889"/>
      <c r="B238" s="896"/>
      <c r="C238" s="889"/>
      <c r="D238" s="889"/>
      <c r="E238" s="889"/>
      <c r="F238" s="889"/>
      <c r="G238" s="889"/>
      <c r="H238" s="889"/>
      <c r="I238" s="889"/>
      <c r="J238" s="889"/>
    </row>
    <row r="239" spans="1:10">
      <c r="A239" s="889"/>
      <c r="B239" s="889"/>
      <c r="C239" s="889"/>
      <c r="D239" s="889"/>
      <c r="E239" s="889"/>
      <c r="F239" s="889"/>
      <c r="G239" s="889"/>
      <c r="H239" s="889"/>
      <c r="I239" s="889"/>
      <c r="J239" s="889"/>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2"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7"/>
  <sheetViews>
    <sheetView view="pageBreakPreview" zoomScale="60" zoomScaleNormal="100" workbookViewId="0">
      <selection activeCell="B8" sqref="B8:E8"/>
    </sheetView>
  </sheetViews>
  <sheetFormatPr defaultColWidth="8.85546875" defaultRowHeight="12.75"/>
  <cols>
    <col min="1" max="1" width="8.85546875" style="172"/>
    <col min="2" max="2" width="23" style="172" customWidth="1"/>
    <col min="3" max="3" width="10.5703125" style="172" customWidth="1"/>
    <col min="4" max="4" width="8.85546875" style="172"/>
    <col min="5" max="5" width="22" style="172" customWidth="1"/>
    <col min="6" max="6" width="8.85546875" style="172"/>
    <col min="7" max="7" width="12.7109375" style="172" customWidth="1"/>
    <col min="8" max="8" width="8.85546875" style="172"/>
    <col min="9" max="9" width="18.28515625" style="172" customWidth="1"/>
    <col min="10" max="10" width="17" style="172" customWidth="1"/>
    <col min="11" max="11" width="5.5703125" style="172" customWidth="1"/>
    <col min="12" max="12" width="18.7109375" style="172" customWidth="1"/>
    <col min="13" max="16384" width="8.85546875" style="172"/>
  </cols>
  <sheetData>
    <row r="1" spans="2:12" ht="15.75">
      <c r="B1" s="1596" t="s">
        <v>618</v>
      </c>
      <c r="C1" s="1596"/>
      <c r="D1" s="1596"/>
      <c r="E1" s="1596"/>
      <c r="F1" s="1596"/>
      <c r="G1" s="1596"/>
      <c r="H1" s="1596"/>
      <c r="I1" s="1596"/>
      <c r="J1" s="1596"/>
      <c r="K1" s="1596"/>
      <c r="L1" s="1596"/>
    </row>
    <row r="2" spans="2:12" ht="15.75">
      <c r="B2" s="1595" t="s">
        <v>565</v>
      </c>
      <c r="C2" s="1595"/>
      <c r="D2" s="1595"/>
      <c r="E2" s="1595"/>
      <c r="F2" s="1595"/>
      <c r="G2" s="1595"/>
      <c r="H2" s="1595"/>
      <c r="I2" s="1595"/>
      <c r="J2" s="1595"/>
      <c r="K2" s="1595"/>
      <c r="L2" s="1595"/>
    </row>
    <row r="3" spans="2:12" ht="15.75">
      <c r="B3" s="1595" t="s">
        <v>595</v>
      </c>
      <c r="C3" s="1595"/>
      <c r="D3" s="1595"/>
      <c r="E3" s="1595"/>
      <c r="F3" s="1595"/>
      <c r="G3" s="1595"/>
      <c r="H3" s="1595"/>
      <c r="I3" s="1595"/>
      <c r="J3" s="1595"/>
      <c r="K3" s="1595"/>
      <c r="L3" s="1595"/>
    </row>
    <row r="4" spans="2:12" ht="15.75">
      <c r="B4" s="385"/>
      <c r="C4" s="385"/>
      <c r="D4" s="385"/>
      <c r="E4" s="1595"/>
      <c r="F4" s="1595"/>
      <c r="G4" s="1595"/>
      <c r="H4" s="1595"/>
      <c r="I4" s="385"/>
      <c r="J4" s="385"/>
      <c r="K4" s="385"/>
      <c r="L4" s="385"/>
    </row>
    <row r="5" spans="2:12">
      <c r="B5" s="384"/>
      <c r="C5" s="384"/>
      <c r="D5" s="384"/>
      <c r="E5" s="384"/>
      <c r="F5" s="384"/>
      <c r="G5" s="384"/>
      <c r="H5" s="384"/>
      <c r="I5" s="384"/>
      <c r="J5" s="384"/>
      <c r="K5" s="384"/>
      <c r="L5" s="384"/>
    </row>
    <row r="6" spans="2:12">
      <c r="B6" s="384"/>
      <c r="C6" s="384"/>
      <c r="D6" s="384"/>
      <c r="E6" s="384"/>
      <c r="F6" s="384"/>
      <c r="G6" s="384"/>
      <c r="H6" s="384"/>
      <c r="I6" s="384"/>
      <c r="J6" s="384"/>
      <c r="K6" s="384"/>
      <c r="L6" s="384"/>
    </row>
    <row r="7" spans="2:12" ht="16.5" thickBot="1">
      <c r="B7" s="909"/>
      <c r="C7" s="910"/>
      <c r="D7" s="910"/>
      <c r="E7" s="910"/>
      <c r="F7" s="910"/>
      <c r="G7" s="910"/>
      <c r="H7" s="910"/>
      <c r="I7" s="910"/>
      <c r="J7" s="910"/>
      <c r="K7" s="910"/>
      <c r="L7" s="910"/>
    </row>
    <row r="8" spans="2:12" ht="63">
      <c r="B8" s="911" t="str">
        <f>"Reconciliation Revenue Requirement For Year 2021 Available May 25, 2022"</f>
        <v>Reconciliation Revenue Requirement For Year 2021 Available May 25, 2022</v>
      </c>
      <c r="C8" s="910"/>
      <c r="D8" s="910"/>
      <c r="E8" s="911" t="s">
        <v>969</v>
      </c>
      <c r="F8" s="910"/>
      <c r="G8" s="910"/>
      <c r="H8" s="385"/>
      <c r="I8" s="911" t="s">
        <v>567</v>
      </c>
      <c r="J8" s="385"/>
      <c r="K8" s="385"/>
      <c r="L8" s="385"/>
    </row>
    <row r="9" spans="2:12" ht="15.75">
      <c r="B9" s="912" t="s">
        <v>416</v>
      </c>
      <c r="C9" s="910"/>
      <c r="D9" s="910"/>
      <c r="E9" s="912"/>
      <c r="F9" s="910"/>
      <c r="G9" s="910"/>
      <c r="H9" s="385"/>
      <c r="I9" s="913"/>
      <c r="J9" s="385"/>
      <c r="K9" s="385"/>
      <c r="L9" s="385"/>
    </row>
    <row r="10" spans="2:12" ht="16.5" thickBot="1">
      <c r="B10" s="908">
        <v>0</v>
      </c>
      <c r="C10" s="914" t="str">
        <f>"-"</f>
        <v>-</v>
      </c>
      <c r="D10" s="915"/>
      <c r="E10" s="908">
        <v>0</v>
      </c>
      <c r="F10" s="916"/>
      <c r="G10" s="917" t="str">
        <f>"="</f>
        <v>=</v>
      </c>
      <c r="H10" s="918"/>
      <c r="I10" s="919">
        <f>IF(B10=0,0,E10-B10)</f>
        <v>0</v>
      </c>
      <c r="J10" s="385"/>
      <c r="K10" s="385"/>
      <c r="L10" s="385"/>
    </row>
    <row r="11" spans="2:12" ht="15.75">
      <c r="B11" s="920"/>
      <c r="C11" s="921"/>
      <c r="D11" s="921"/>
      <c r="E11" s="920"/>
      <c r="F11" s="920"/>
      <c r="G11" s="921"/>
      <c r="H11" s="920"/>
      <c r="I11" s="385"/>
      <c r="J11" s="385"/>
      <c r="K11" s="385"/>
      <c r="L11" s="385"/>
    </row>
    <row r="12" spans="2:12" ht="16.5" thickBot="1">
      <c r="B12" s="922"/>
      <c r="C12" s="923"/>
      <c r="D12" s="923"/>
      <c r="E12" s="922"/>
      <c r="F12" s="922"/>
      <c r="G12" s="923"/>
      <c r="H12" s="922"/>
      <c r="I12" s="924"/>
      <c r="J12" s="924"/>
      <c r="K12" s="924"/>
      <c r="L12" s="924"/>
    </row>
    <row r="13" spans="2:12" ht="15.75">
      <c r="B13" s="925"/>
      <c r="C13" s="921"/>
      <c r="D13" s="921"/>
      <c r="E13" s="920"/>
      <c r="F13" s="920"/>
      <c r="G13" s="921"/>
      <c r="H13" s="920"/>
      <c r="I13" s="385"/>
      <c r="J13" s="385"/>
      <c r="K13" s="385"/>
      <c r="L13" s="385"/>
    </row>
    <row r="14" spans="2:12" ht="47.25">
      <c r="B14" s="926" t="s">
        <v>624</v>
      </c>
      <c r="C14" s="921"/>
      <c r="D14" s="921"/>
      <c r="E14" s="927" t="s">
        <v>568</v>
      </c>
      <c r="F14" s="920"/>
      <c r="G14" s="927" t="s">
        <v>569</v>
      </c>
      <c r="H14" s="928" t="s">
        <v>570</v>
      </c>
      <c r="I14" s="929" t="s">
        <v>571</v>
      </c>
      <c r="J14" s="927" t="s">
        <v>572</v>
      </c>
      <c r="K14" s="930"/>
      <c r="L14" s="927" t="s">
        <v>573</v>
      </c>
    </row>
    <row r="15" spans="2:12" ht="15.75">
      <c r="B15" s="926" t="s">
        <v>826</v>
      </c>
      <c r="C15" s="921"/>
      <c r="D15" s="921"/>
      <c r="E15" s="385"/>
      <c r="F15" s="931"/>
      <c r="G15" s="944">
        <v>4.0949999999999997E-3</v>
      </c>
      <c r="I15" s="385"/>
      <c r="J15" s="385"/>
      <c r="K15" s="385"/>
      <c r="L15" s="385"/>
    </row>
    <row r="16" spans="2:12" ht="15.75">
      <c r="B16" s="926"/>
      <c r="C16" s="921"/>
      <c r="D16" s="921"/>
      <c r="E16" s="385"/>
      <c r="F16" s="931"/>
      <c r="G16" s="931"/>
      <c r="H16" s="920"/>
      <c r="I16" s="385"/>
      <c r="J16" s="385"/>
      <c r="K16" s="385"/>
      <c r="L16" s="385"/>
    </row>
    <row r="17" spans="2:12" ht="15.75">
      <c r="B17" s="926" t="s">
        <v>950</v>
      </c>
      <c r="C17" s="921"/>
      <c r="D17" s="921"/>
      <c r="E17" s="385"/>
      <c r="F17" s="931"/>
      <c r="G17" s="931"/>
      <c r="H17" s="920"/>
      <c r="I17" s="385"/>
      <c r="J17" s="385"/>
      <c r="K17" s="385"/>
      <c r="L17" s="385"/>
    </row>
    <row r="18" spans="2:12" ht="15.75">
      <c r="B18" s="932" t="s">
        <v>416</v>
      </c>
      <c r="C18" s="921"/>
      <c r="D18" s="921"/>
      <c r="E18" s="921"/>
      <c r="F18" s="921"/>
      <c r="G18" s="921" t="s">
        <v>416</v>
      </c>
      <c r="H18" s="385"/>
      <c r="I18" s="385"/>
      <c r="J18" s="385"/>
      <c r="K18" s="385"/>
      <c r="L18" s="385"/>
    </row>
    <row r="19" spans="2:12" ht="15.75">
      <c r="B19" s="933"/>
      <c r="C19" s="921"/>
      <c r="D19" s="921"/>
      <c r="E19" s="921"/>
      <c r="F19" s="921"/>
      <c r="G19" s="385"/>
      <c r="H19" s="385"/>
      <c r="I19" s="928"/>
      <c r="J19" s="921"/>
      <c r="K19" s="921"/>
      <c r="L19" s="921"/>
    </row>
    <row r="20" spans="2:12" ht="15.75">
      <c r="B20" s="933" t="s">
        <v>574</v>
      </c>
      <c r="C20" s="921"/>
      <c r="D20" s="921"/>
      <c r="E20" s="921"/>
      <c r="F20" s="921"/>
      <c r="G20" s="385"/>
      <c r="H20" s="385"/>
      <c r="I20" s="928" t="s">
        <v>575</v>
      </c>
      <c r="J20" s="921"/>
      <c r="K20" s="921"/>
      <c r="L20" s="921"/>
    </row>
    <row r="21" spans="2:12" ht="15.75">
      <c r="B21" s="910" t="s">
        <v>576</v>
      </c>
      <c r="C21" s="910" t="str">
        <f>"Year 2018"</f>
        <v>Year 2018</v>
      </c>
      <c r="D21" s="910"/>
      <c r="E21" s="934">
        <f>I10/12</f>
        <v>0</v>
      </c>
      <c r="F21" s="934"/>
      <c r="G21" s="935">
        <f>+G15</f>
        <v>4.0949999999999997E-3</v>
      </c>
      <c r="H21" s="1306">
        <v>12</v>
      </c>
      <c r="I21" s="934">
        <f>G21*E21*H21*-1</f>
        <v>0</v>
      </c>
      <c r="J21" s="934"/>
      <c r="K21" s="934"/>
      <c r="L21" s="934">
        <f>(-I21+E21)*-1</f>
        <v>0</v>
      </c>
    </row>
    <row r="22" spans="2:12" ht="15.75">
      <c r="B22" s="910" t="s">
        <v>577</v>
      </c>
      <c r="C22" s="910" t="str">
        <f>C21</f>
        <v>Year 2018</v>
      </c>
      <c r="D22" s="910"/>
      <c r="E22" s="934">
        <f>+E21</f>
        <v>0</v>
      </c>
      <c r="F22" s="934"/>
      <c r="G22" s="935">
        <f>+G21</f>
        <v>4.0949999999999997E-3</v>
      </c>
      <c r="H22" s="1306">
        <f t="shared" ref="H22:H32" si="0">+H21-1</f>
        <v>11</v>
      </c>
      <c r="I22" s="934">
        <f t="shared" ref="I22:I32" si="1">G22*E22*H22*-1</f>
        <v>0</v>
      </c>
      <c r="J22" s="934"/>
      <c r="K22" s="934"/>
      <c r="L22" s="934">
        <f t="shared" ref="L22:L32" si="2">(-I22+E22)*-1</f>
        <v>0</v>
      </c>
    </row>
    <row r="23" spans="2:12" ht="15.75">
      <c r="B23" s="910" t="s">
        <v>578</v>
      </c>
      <c r="C23" s="910" t="str">
        <f t="shared" ref="C23:C32" si="3">C22</f>
        <v>Year 2018</v>
      </c>
      <c r="D23" s="910"/>
      <c r="E23" s="934">
        <f t="shared" ref="E23:E32" si="4">+E22</f>
        <v>0</v>
      </c>
      <c r="F23" s="934"/>
      <c r="G23" s="935">
        <f t="shared" ref="G23:G32" si="5">+G22</f>
        <v>4.0949999999999997E-3</v>
      </c>
      <c r="H23" s="1306">
        <f t="shared" si="0"/>
        <v>10</v>
      </c>
      <c r="I23" s="934">
        <f t="shared" si="1"/>
        <v>0</v>
      </c>
      <c r="J23" s="934"/>
      <c r="K23" s="934"/>
      <c r="L23" s="934">
        <f t="shared" si="2"/>
        <v>0</v>
      </c>
    </row>
    <row r="24" spans="2:12" ht="15.75">
      <c r="B24" s="910" t="s">
        <v>579</v>
      </c>
      <c r="C24" s="910" t="str">
        <f t="shared" si="3"/>
        <v>Year 2018</v>
      </c>
      <c r="D24" s="910"/>
      <c r="E24" s="934">
        <f t="shared" si="4"/>
        <v>0</v>
      </c>
      <c r="F24" s="934"/>
      <c r="G24" s="935">
        <f t="shared" si="5"/>
        <v>4.0949999999999997E-3</v>
      </c>
      <c r="H24" s="1306">
        <f t="shared" si="0"/>
        <v>9</v>
      </c>
      <c r="I24" s="934">
        <f t="shared" si="1"/>
        <v>0</v>
      </c>
      <c r="J24" s="934"/>
      <c r="K24" s="934"/>
      <c r="L24" s="934">
        <f t="shared" si="2"/>
        <v>0</v>
      </c>
    </row>
    <row r="25" spans="2:12" ht="15.75">
      <c r="B25" s="910" t="s">
        <v>580</v>
      </c>
      <c r="C25" s="910" t="str">
        <f t="shared" si="3"/>
        <v>Year 2018</v>
      </c>
      <c r="D25" s="910"/>
      <c r="E25" s="934">
        <f t="shared" si="4"/>
        <v>0</v>
      </c>
      <c r="F25" s="934"/>
      <c r="G25" s="935">
        <f t="shared" si="5"/>
        <v>4.0949999999999997E-3</v>
      </c>
      <c r="H25" s="1306">
        <f t="shared" si="0"/>
        <v>8</v>
      </c>
      <c r="I25" s="934">
        <f t="shared" si="1"/>
        <v>0</v>
      </c>
      <c r="J25" s="934"/>
      <c r="K25" s="934"/>
      <c r="L25" s="934">
        <f t="shared" si="2"/>
        <v>0</v>
      </c>
    </row>
    <row r="26" spans="2:12" ht="15.75">
      <c r="B26" s="910" t="s">
        <v>581</v>
      </c>
      <c r="C26" s="910" t="str">
        <f t="shared" si="3"/>
        <v>Year 2018</v>
      </c>
      <c r="D26" s="910"/>
      <c r="E26" s="934">
        <f t="shared" si="4"/>
        <v>0</v>
      </c>
      <c r="F26" s="934"/>
      <c r="G26" s="935">
        <f t="shared" si="5"/>
        <v>4.0949999999999997E-3</v>
      </c>
      <c r="H26" s="1306">
        <f t="shared" si="0"/>
        <v>7</v>
      </c>
      <c r="I26" s="934">
        <f t="shared" si="1"/>
        <v>0</v>
      </c>
      <c r="J26" s="934"/>
      <c r="K26" s="934"/>
      <c r="L26" s="934">
        <f t="shared" si="2"/>
        <v>0</v>
      </c>
    </row>
    <row r="27" spans="2:12" ht="15.75">
      <c r="B27" s="910" t="s">
        <v>582</v>
      </c>
      <c r="C27" s="910" t="str">
        <f t="shared" si="3"/>
        <v>Year 2018</v>
      </c>
      <c r="D27" s="910"/>
      <c r="E27" s="934">
        <f t="shared" si="4"/>
        <v>0</v>
      </c>
      <c r="F27" s="934"/>
      <c r="G27" s="935">
        <f t="shared" si="5"/>
        <v>4.0949999999999997E-3</v>
      </c>
      <c r="H27" s="1306">
        <f t="shared" si="0"/>
        <v>6</v>
      </c>
      <c r="I27" s="934">
        <f t="shared" si="1"/>
        <v>0</v>
      </c>
      <c r="J27" s="934"/>
      <c r="K27" s="934"/>
      <c r="L27" s="934">
        <f t="shared" si="2"/>
        <v>0</v>
      </c>
    </row>
    <row r="28" spans="2:12" ht="15.75">
      <c r="B28" s="910" t="s">
        <v>583</v>
      </c>
      <c r="C28" s="910" t="str">
        <f t="shared" si="3"/>
        <v>Year 2018</v>
      </c>
      <c r="D28" s="910"/>
      <c r="E28" s="934">
        <f t="shared" si="4"/>
        <v>0</v>
      </c>
      <c r="F28" s="934"/>
      <c r="G28" s="935">
        <f t="shared" si="5"/>
        <v>4.0949999999999997E-3</v>
      </c>
      <c r="H28" s="1306">
        <f t="shared" si="0"/>
        <v>5</v>
      </c>
      <c r="I28" s="934">
        <f t="shared" si="1"/>
        <v>0</v>
      </c>
      <c r="J28" s="934"/>
      <c r="K28" s="934"/>
      <c r="L28" s="934">
        <f t="shared" si="2"/>
        <v>0</v>
      </c>
    </row>
    <row r="29" spans="2:12" ht="15.75">
      <c r="B29" s="910" t="s">
        <v>584</v>
      </c>
      <c r="C29" s="910" t="str">
        <f t="shared" si="3"/>
        <v>Year 2018</v>
      </c>
      <c r="D29" s="910"/>
      <c r="E29" s="934">
        <f t="shared" si="4"/>
        <v>0</v>
      </c>
      <c r="F29" s="934"/>
      <c r="G29" s="935">
        <f t="shared" si="5"/>
        <v>4.0949999999999997E-3</v>
      </c>
      <c r="H29" s="1306">
        <f t="shared" si="0"/>
        <v>4</v>
      </c>
      <c r="I29" s="934">
        <f t="shared" si="1"/>
        <v>0</v>
      </c>
      <c r="J29" s="934"/>
      <c r="K29" s="934"/>
      <c r="L29" s="934">
        <f t="shared" si="2"/>
        <v>0</v>
      </c>
    </row>
    <row r="30" spans="2:12" ht="15.75">
      <c r="B30" s="910" t="s">
        <v>585</v>
      </c>
      <c r="C30" s="910" t="str">
        <f t="shared" si="3"/>
        <v>Year 2018</v>
      </c>
      <c r="D30" s="910"/>
      <c r="E30" s="934">
        <f t="shared" si="4"/>
        <v>0</v>
      </c>
      <c r="F30" s="934"/>
      <c r="G30" s="935">
        <f t="shared" si="5"/>
        <v>4.0949999999999997E-3</v>
      </c>
      <c r="H30" s="1306">
        <f t="shared" si="0"/>
        <v>3</v>
      </c>
      <c r="I30" s="934">
        <f t="shared" si="1"/>
        <v>0</v>
      </c>
      <c r="J30" s="934"/>
      <c r="K30" s="934"/>
      <c r="L30" s="934">
        <f t="shared" si="2"/>
        <v>0</v>
      </c>
    </row>
    <row r="31" spans="2:12" ht="15.75">
      <c r="B31" s="910" t="s">
        <v>586</v>
      </c>
      <c r="C31" s="910" t="str">
        <f t="shared" si="3"/>
        <v>Year 2018</v>
      </c>
      <c r="D31" s="910"/>
      <c r="E31" s="934">
        <f t="shared" si="4"/>
        <v>0</v>
      </c>
      <c r="F31" s="934"/>
      <c r="G31" s="935">
        <f t="shared" si="5"/>
        <v>4.0949999999999997E-3</v>
      </c>
      <c r="H31" s="1306">
        <f t="shared" si="0"/>
        <v>2</v>
      </c>
      <c r="I31" s="934">
        <f t="shared" si="1"/>
        <v>0</v>
      </c>
      <c r="J31" s="934"/>
      <c r="K31" s="934"/>
      <c r="L31" s="934">
        <f t="shared" si="2"/>
        <v>0</v>
      </c>
    </row>
    <row r="32" spans="2:12" ht="15.75">
      <c r="B32" s="910" t="s">
        <v>587</v>
      </c>
      <c r="C32" s="910" t="str">
        <f t="shared" si="3"/>
        <v>Year 2018</v>
      </c>
      <c r="D32" s="910"/>
      <c r="E32" s="934">
        <f t="shared" si="4"/>
        <v>0</v>
      </c>
      <c r="F32" s="934"/>
      <c r="G32" s="935">
        <f t="shared" si="5"/>
        <v>4.0949999999999997E-3</v>
      </c>
      <c r="H32" s="1306">
        <f t="shared" si="0"/>
        <v>1</v>
      </c>
      <c r="I32" s="936">
        <f t="shared" si="1"/>
        <v>0</v>
      </c>
      <c r="J32" s="934"/>
      <c r="K32" s="934"/>
      <c r="L32" s="934">
        <f t="shared" si="2"/>
        <v>0</v>
      </c>
    </row>
    <row r="33" spans="2:12" ht="15.75">
      <c r="B33" s="910"/>
      <c r="C33" s="910"/>
      <c r="D33" s="910"/>
      <c r="E33" s="934"/>
      <c r="F33" s="934"/>
      <c r="G33" s="935"/>
      <c r="H33" s="921"/>
      <c r="I33" s="934">
        <f>SUM(I21:I32)</f>
        <v>0</v>
      </c>
      <c r="J33" s="934"/>
      <c r="K33" s="934"/>
      <c r="L33" s="937">
        <f>SUM(L21:L32)</f>
        <v>0</v>
      </c>
    </row>
    <row r="34" spans="2:12" ht="15.75">
      <c r="B34" s="910"/>
      <c r="C34" s="910"/>
      <c r="D34" s="910"/>
      <c r="E34" s="934"/>
      <c r="F34" s="934"/>
      <c r="G34" s="935"/>
      <c r="H34" s="921"/>
      <c r="I34" s="934"/>
      <c r="J34" s="934" t="s">
        <v>416</v>
      </c>
      <c r="K34" s="934"/>
      <c r="L34" s="385"/>
    </row>
    <row r="35" spans="2:12" ht="15.75">
      <c r="B35" s="910"/>
      <c r="C35" s="910"/>
      <c r="D35" s="910"/>
      <c r="E35" s="920"/>
      <c r="F35" s="920"/>
      <c r="G35" s="935"/>
      <c r="H35" s="921"/>
      <c r="I35" s="938" t="s">
        <v>588</v>
      </c>
      <c r="J35" s="934"/>
      <c r="K35" s="934"/>
      <c r="L35" s="934"/>
    </row>
    <row r="36" spans="2:12" ht="15.75">
      <c r="B36" s="910" t="s">
        <v>589</v>
      </c>
      <c r="C36" s="910" t="str">
        <f>"Year 2019"</f>
        <v>Year 2019</v>
      </c>
      <c r="D36" s="910"/>
      <c r="E36" s="920">
        <f>L33</f>
        <v>0</v>
      </c>
      <c r="F36" s="920"/>
      <c r="G36" s="935">
        <f>+G32</f>
        <v>4.0949999999999997E-3</v>
      </c>
      <c r="H36" s="1306">
        <v>12</v>
      </c>
      <c r="I36" s="934">
        <f>+H36*G36*E36</f>
        <v>0</v>
      </c>
      <c r="J36" s="934"/>
      <c r="K36" s="934"/>
      <c r="L36" s="937">
        <f>+E36+I36</f>
        <v>0</v>
      </c>
    </row>
    <row r="37" spans="2:12" ht="15.75">
      <c r="B37" s="910"/>
      <c r="C37" s="910"/>
      <c r="D37" s="910"/>
      <c r="E37" s="920"/>
      <c r="F37" s="920"/>
      <c r="G37" s="935"/>
      <c r="H37" s="910"/>
      <c r="I37" s="934"/>
      <c r="J37" s="934"/>
      <c r="K37" s="934"/>
      <c r="L37" s="934"/>
    </row>
    <row r="38" spans="2:12" ht="15.75">
      <c r="B38" s="939" t="s">
        <v>590</v>
      </c>
      <c r="C38" s="910"/>
      <c r="D38" s="910"/>
      <c r="E38" s="934"/>
      <c r="F38" s="934"/>
      <c r="G38" s="935"/>
      <c r="H38" s="910"/>
      <c r="I38" s="938" t="s">
        <v>575</v>
      </c>
      <c r="J38" s="934"/>
      <c r="K38" s="934"/>
      <c r="L38" s="934"/>
    </row>
    <row r="39" spans="2:12" ht="15.75">
      <c r="B39" s="910" t="s">
        <v>576</v>
      </c>
      <c r="C39" s="910" t="str">
        <f>"Year 2020"</f>
        <v>Year 2020</v>
      </c>
      <c r="D39" s="910"/>
      <c r="E39" s="940">
        <f>-L36</f>
        <v>0</v>
      </c>
      <c r="F39" s="920"/>
      <c r="G39" s="935">
        <f>+G32</f>
        <v>4.0949999999999997E-3</v>
      </c>
      <c r="H39" s="910"/>
      <c r="I39" s="934">
        <f xml:space="preserve"> -G39*E39</f>
        <v>0</v>
      </c>
      <c r="J39" s="934">
        <f>PMT(G39,12,L$36)</f>
        <v>0</v>
      </c>
      <c r="K39" s="934"/>
      <c r="L39" s="934">
        <f>(+E39+E39*G39-J39)*-1</f>
        <v>0</v>
      </c>
    </row>
    <row r="40" spans="2:12" ht="15.75">
      <c r="B40" s="910" t="s">
        <v>577</v>
      </c>
      <c r="C40" s="910" t="str">
        <f>+C39</f>
        <v>Year 2020</v>
      </c>
      <c r="D40" s="910"/>
      <c r="E40" s="920">
        <f>-L39</f>
        <v>0</v>
      </c>
      <c r="F40" s="920"/>
      <c r="G40" s="935">
        <f>+G39</f>
        <v>4.0949999999999997E-3</v>
      </c>
      <c r="H40" s="910"/>
      <c r="I40" s="934">
        <f xml:space="preserve"> -G40*E40</f>
        <v>0</v>
      </c>
      <c r="J40" s="934">
        <f>J39</f>
        <v>0</v>
      </c>
      <c r="K40" s="934"/>
      <c r="L40" s="934">
        <f t="shared" ref="L40:L50" si="6">(+E40+E40*G40-J40)*-1</f>
        <v>0</v>
      </c>
    </row>
    <row r="41" spans="2:12" ht="15.75">
      <c r="B41" s="910" t="s">
        <v>578</v>
      </c>
      <c r="C41" s="910" t="str">
        <f>+C40</f>
        <v>Year 2020</v>
      </c>
      <c r="D41" s="910"/>
      <c r="E41" s="920">
        <f t="shared" ref="E41:E50" si="7">-L40</f>
        <v>0</v>
      </c>
      <c r="F41" s="920"/>
      <c r="G41" s="935">
        <f t="shared" ref="G41:G50" si="8">+G40</f>
        <v>4.0949999999999997E-3</v>
      </c>
      <c r="H41" s="910"/>
      <c r="I41" s="934">
        <f t="shared" ref="I41:I50" si="9" xml:space="preserve"> -G41*E41</f>
        <v>0</v>
      </c>
      <c r="J41" s="934">
        <f t="shared" ref="J41:J50" si="10">J40</f>
        <v>0</v>
      </c>
      <c r="K41" s="934"/>
      <c r="L41" s="934">
        <f t="shared" si="6"/>
        <v>0</v>
      </c>
    </row>
    <row r="42" spans="2:12" ht="15.75">
      <c r="B42" s="910" t="s">
        <v>579</v>
      </c>
      <c r="C42" s="910" t="str">
        <f>+C41</f>
        <v>Year 2020</v>
      </c>
      <c r="D42" s="910"/>
      <c r="E42" s="920">
        <f t="shared" si="7"/>
        <v>0</v>
      </c>
      <c r="F42" s="920"/>
      <c r="G42" s="935">
        <f t="shared" si="8"/>
        <v>4.0949999999999997E-3</v>
      </c>
      <c r="H42" s="910"/>
      <c r="I42" s="934">
        <f t="shared" si="9"/>
        <v>0</v>
      </c>
      <c r="J42" s="934">
        <f t="shared" si="10"/>
        <v>0</v>
      </c>
      <c r="K42" s="934"/>
      <c r="L42" s="934">
        <f t="shared" si="6"/>
        <v>0</v>
      </c>
    </row>
    <row r="43" spans="2:12" ht="15.75">
      <c r="B43" s="910" t="s">
        <v>580</v>
      </c>
      <c r="C43" s="910" t="str">
        <f>+C42</f>
        <v>Year 2020</v>
      </c>
      <c r="D43" s="910"/>
      <c r="E43" s="920">
        <f t="shared" si="7"/>
        <v>0</v>
      </c>
      <c r="F43" s="920"/>
      <c r="G43" s="935">
        <f t="shared" si="8"/>
        <v>4.0949999999999997E-3</v>
      </c>
      <c r="H43" s="910"/>
      <c r="I43" s="934">
        <f t="shared" si="9"/>
        <v>0</v>
      </c>
      <c r="J43" s="934">
        <f>J42</f>
        <v>0</v>
      </c>
      <c r="K43" s="934"/>
      <c r="L43" s="934">
        <f t="shared" si="6"/>
        <v>0</v>
      </c>
    </row>
    <row r="44" spans="2:12" ht="15.75">
      <c r="B44" s="910" t="s">
        <v>581</v>
      </c>
      <c r="C44" s="910" t="str">
        <f>C43</f>
        <v>Year 2020</v>
      </c>
      <c r="D44" s="385"/>
      <c r="E44" s="920">
        <f t="shared" si="7"/>
        <v>0</v>
      </c>
      <c r="F44" s="920"/>
      <c r="G44" s="935">
        <f t="shared" si="8"/>
        <v>4.0949999999999997E-3</v>
      </c>
      <c r="H44" s="910"/>
      <c r="I44" s="934">
        <f t="shared" si="9"/>
        <v>0</v>
      </c>
      <c r="J44" s="934">
        <f t="shared" si="10"/>
        <v>0</v>
      </c>
      <c r="K44" s="934"/>
      <c r="L44" s="934">
        <f t="shared" si="6"/>
        <v>0</v>
      </c>
    </row>
    <row r="45" spans="2:12" ht="15.75">
      <c r="B45" s="910" t="s">
        <v>582</v>
      </c>
      <c r="C45" s="910" t="str">
        <f t="shared" ref="C45:C50" si="11">+C44</f>
        <v>Year 2020</v>
      </c>
      <c r="D45" s="910"/>
      <c r="E45" s="920">
        <f t="shared" si="7"/>
        <v>0</v>
      </c>
      <c r="F45" s="920"/>
      <c r="G45" s="935">
        <f t="shared" si="8"/>
        <v>4.0949999999999997E-3</v>
      </c>
      <c r="H45" s="910"/>
      <c r="I45" s="934">
        <f t="shared" si="9"/>
        <v>0</v>
      </c>
      <c r="J45" s="934">
        <f t="shared" si="10"/>
        <v>0</v>
      </c>
      <c r="K45" s="934"/>
      <c r="L45" s="934">
        <f t="shared" si="6"/>
        <v>0</v>
      </c>
    </row>
    <row r="46" spans="2:12" ht="15.75">
      <c r="B46" s="910" t="s">
        <v>583</v>
      </c>
      <c r="C46" s="910" t="str">
        <f t="shared" si="11"/>
        <v>Year 2020</v>
      </c>
      <c r="D46" s="910"/>
      <c r="E46" s="920">
        <f t="shared" si="7"/>
        <v>0</v>
      </c>
      <c r="F46" s="920"/>
      <c r="G46" s="935">
        <f t="shared" si="8"/>
        <v>4.0949999999999997E-3</v>
      </c>
      <c r="H46" s="910"/>
      <c r="I46" s="934">
        <f t="shared" si="9"/>
        <v>0</v>
      </c>
      <c r="J46" s="934">
        <f t="shared" si="10"/>
        <v>0</v>
      </c>
      <c r="K46" s="934"/>
      <c r="L46" s="934">
        <f t="shared" si="6"/>
        <v>0</v>
      </c>
    </row>
    <row r="47" spans="2:12" ht="15.75">
      <c r="B47" s="910" t="s">
        <v>584</v>
      </c>
      <c r="C47" s="910" t="str">
        <f t="shared" si="11"/>
        <v>Year 2020</v>
      </c>
      <c r="D47" s="910"/>
      <c r="E47" s="920">
        <f t="shared" si="7"/>
        <v>0</v>
      </c>
      <c r="F47" s="920"/>
      <c r="G47" s="935">
        <f t="shared" si="8"/>
        <v>4.0949999999999997E-3</v>
      </c>
      <c r="H47" s="910"/>
      <c r="I47" s="934">
        <f t="shared" si="9"/>
        <v>0</v>
      </c>
      <c r="J47" s="934">
        <f>J46</f>
        <v>0</v>
      </c>
      <c r="K47" s="934"/>
      <c r="L47" s="934">
        <f t="shared" si="6"/>
        <v>0</v>
      </c>
    </row>
    <row r="48" spans="2:12" ht="15.75">
      <c r="B48" s="910" t="s">
        <v>585</v>
      </c>
      <c r="C48" s="910" t="str">
        <f t="shared" si="11"/>
        <v>Year 2020</v>
      </c>
      <c r="D48" s="910"/>
      <c r="E48" s="920">
        <f t="shared" si="7"/>
        <v>0</v>
      </c>
      <c r="F48" s="920"/>
      <c r="G48" s="935">
        <f t="shared" si="8"/>
        <v>4.0949999999999997E-3</v>
      </c>
      <c r="H48" s="910"/>
      <c r="I48" s="934">
        <f t="shared" si="9"/>
        <v>0</v>
      </c>
      <c r="J48" s="934">
        <f t="shared" si="10"/>
        <v>0</v>
      </c>
      <c r="K48" s="934"/>
      <c r="L48" s="934">
        <f t="shared" si="6"/>
        <v>0</v>
      </c>
    </row>
    <row r="49" spans="2:12" ht="15.75">
      <c r="B49" s="910" t="s">
        <v>586</v>
      </c>
      <c r="C49" s="910" t="str">
        <f t="shared" si="11"/>
        <v>Year 2020</v>
      </c>
      <c r="D49" s="910"/>
      <c r="E49" s="920">
        <f t="shared" si="7"/>
        <v>0</v>
      </c>
      <c r="F49" s="920"/>
      <c r="G49" s="935">
        <f t="shared" si="8"/>
        <v>4.0949999999999997E-3</v>
      </c>
      <c r="H49" s="910"/>
      <c r="I49" s="934">
        <f t="shared" si="9"/>
        <v>0</v>
      </c>
      <c r="J49" s="934">
        <f t="shared" si="10"/>
        <v>0</v>
      </c>
      <c r="K49" s="934"/>
      <c r="L49" s="934">
        <f t="shared" si="6"/>
        <v>0</v>
      </c>
    </row>
    <row r="50" spans="2:12" ht="15.75">
      <c r="B50" s="910" t="s">
        <v>587</v>
      </c>
      <c r="C50" s="910" t="str">
        <f t="shared" si="11"/>
        <v>Year 2020</v>
      </c>
      <c r="D50" s="910"/>
      <c r="E50" s="920">
        <f t="shared" si="7"/>
        <v>0</v>
      </c>
      <c r="F50" s="920"/>
      <c r="G50" s="935">
        <f t="shared" si="8"/>
        <v>4.0949999999999997E-3</v>
      </c>
      <c r="H50" s="910"/>
      <c r="I50" s="936">
        <f t="shared" si="9"/>
        <v>0</v>
      </c>
      <c r="J50" s="934">
        <f t="shared" si="10"/>
        <v>0</v>
      </c>
      <c r="K50" s="934"/>
      <c r="L50" s="934">
        <f t="shared" si="6"/>
        <v>0</v>
      </c>
    </row>
    <row r="51" spans="2:12" ht="15.75">
      <c r="B51" s="910"/>
      <c r="C51" s="910"/>
      <c r="D51" s="910"/>
      <c r="E51" s="920"/>
      <c r="F51" s="920"/>
      <c r="G51" s="935"/>
      <c r="H51" s="910"/>
      <c r="I51" s="934">
        <f>SUM(I39:I50)</f>
        <v>0</v>
      </c>
      <c r="J51" s="934"/>
      <c r="K51" s="934"/>
      <c r="L51" s="934"/>
    </row>
    <row r="52" spans="2:12" ht="15">
      <c r="B52" s="385"/>
      <c r="C52" s="385"/>
      <c r="D52" s="385"/>
      <c r="E52" s="385"/>
      <c r="F52" s="385"/>
      <c r="G52" s="385"/>
      <c r="H52" s="385"/>
      <c r="I52" s="385"/>
      <c r="J52" s="941"/>
      <c r="K52" s="385"/>
      <c r="L52" s="385"/>
    </row>
    <row r="53" spans="2:12" ht="15.75">
      <c r="B53" s="910" t="s">
        <v>591</v>
      </c>
      <c r="C53" s="385"/>
      <c r="D53" s="385"/>
      <c r="E53" s="385"/>
      <c r="F53" s="385"/>
      <c r="G53" s="385"/>
      <c r="H53" s="385"/>
      <c r="I53" s="385"/>
      <c r="J53" s="942">
        <f>(SUM(J39:J50)*-1)</f>
        <v>0</v>
      </c>
      <c r="K53" s="385"/>
      <c r="L53" s="385"/>
    </row>
    <row r="54" spans="2:12" ht="15.75">
      <c r="B54" s="910" t="s">
        <v>592</v>
      </c>
      <c r="C54" s="385"/>
      <c r="D54" s="385"/>
      <c r="E54" s="385"/>
      <c r="F54" s="385"/>
      <c r="G54" s="385"/>
      <c r="H54" s="385"/>
      <c r="I54" s="385"/>
      <c r="J54" s="943">
        <f>+I10</f>
        <v>0</v>
      </c>
      <c r="K54" s="385"/>
      <c r="L54" s="385"/>
    </row>
    <row r="55" spans="2:12" ht="15.75">
      <c r="B55" s="910" t="s">
        <v>593</v>
      </c>
      <c r="C55" s="385"/>
      <c r="D55" s="385"/>
      <c r="E55" s="385"/>
      <c r="F55" s="385"/>
      <c r="G55" s="385"/>
      <c r="H55" s="385"/>
      <c r="I55" s="385"/>
      <c r="J55" s="942">
        <f>(J53+J54)</f>
        <v>0</v>
      </c>
      <c r="K55" s="385"/>
      <c r="L55" s="385"/>
    </row>
    <row r="56" spans="2:12">
      <c r="B56" s="384"/>
      <c r="C56" s="384"/>
      <c r="D56" s="384"/>
      <c r="E56" s="384"/>
      <c r="F56" s="384"/>
      <c r="G56" s="384"/>
      <c r="H56" s="384"/>
      <c r="I56" s="384"/>
      <c r="J56" s="384"/>
      <c r="K56" s="384"/>
      <c r="L56" s="384"/>
    </row>
    <row r="57" spans="2:12" ht="52.9" customHeight="1">
      <c r="B57" s="1597" t="s">
        <v>594</v>
      </c>
      <c r="C57" s="1597"/>
      <c r="D57" s="1597"/>
      <c r="E57" s="1597"/>
      <c r="F57" s="1597"/>
      <c r="G57" s="1597"/>
      <c r="H57" s="1597"/>
      <c r="I57" s="1597"/>
      <c r="J57" s="1597"/>
      <c r="K57" s="1308"/>
      <c r="L57" s="1308"/>
    </row>
  </sheetData>
  <mergeCells count="5">
    <mergeCell ref="B3:L3"/>
    <mergeCell ref="B1:L1"/>
    <mergeCell ref="B2:L2"/>
    <mergeCell ref="E4:H4"/>
    <mergeCell ref="B57:J57"/>
  </mergeCells>
  <pageMargins left="0.7" right="0.7" top="0.75" bottom="0.75" header="0.3" footer="0.3"/>
  <pageSetup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7"/>
  <sheetViews>
    <sheetView view="pageBreakPreview" zoomScale="60" zoomScaleNormal="100" workbookViewId="0">
      <selection activeCell="B8" sqref="B8:E8"/>
    </sheetView>
  </sheetViews>
  <sheetFormatPr defaultRowHeight="12.75"/>
  <cols>
    <col min="2" max="2" width="30.140625" customWidth="1"/>
    <col min="5" max="5" width="24.140625" customWidth="1"/>
    <col min="7" max="7" width="14.85546875" customWidth="1"/>
    <col min="9" max="9" width="22.28515625" customWidth="1"/>
    <col min="10" max="10" width="18" customWidth="1"/>
    <col min="12" max="12" width="18.42578125" customWidth="1"/>
  </cols>
  <sheetData>
    <row r="1" spans="1:12" ht="15.75">
      <c r="A1" s="172"/>
      <c r="B1" s="1596" t="s">
        <v>618</v>
      </c>
      <c r="C1" s="1596"/>
      <c r="D1" s="1596"/>
      <c r="E1" s="1596"/>
      <c r="F1" s="1596"/>
      <c r="G1" s="1596"/>
      <c r="H1" s="1596"/>
      <c r="I1" s="1596"/>
      <c r="J1" s="1596"/>
      <c r="K1" s="1596"/>
      <c r="L1" s="1596"/>
    </row>
    <row r="2" spans="1:12" ht="15.75">
      <c r="A2" s="172"/>
      <c r="B2" s="1595" t="s">
        <v>565</v>
      </c>
      <c r="C2" s="1595"/>
      <c r="D2" s="1595"/>
      <c r="E2" s="1595"/>
      <c r="F2" s="1595"/>
      <c r="G2" s="1595"/>
      <c r="H2" s="1595"/>
      <c r="I2" s="1595"/>
      <c r="J2" s="1595"/>
      <c r="K2" s="1595"/>
      <c r="L2" s="1595"/>
    </row>
    <row r="3" spans="1:12" ht="15.75">
      <c r="A3" s="172"/>
      <c r="B3" s="1595" t="s">
        <v>595</v>
      </c>
      <c r="C3" s="1595"/>
      <c r="D3" s="1595"/>
      <c r="E3" s="1595"/>
      <c r="F3" s="1595"/>
      <c r="G3" s="1595"/>
      <c r="H3" s="1595"/>
      <c r="I3" s="1595"/>
      <c r="J3" s="1595"/>
      <c r="K3" s="1595"/>
      <c r="L3" s="1595"/>
    </row>
    <row r="4" spans="1:12" ht="15.75">
      <c r="A4" s="172"/>
      <c r="B4" s="385"/>
      <c r="C4" s="385"/>
      <c r="D4" s="385"/>
      <c r="E4" s="1595"/>
      <c r="F4" s="1595"/>
      <c r="G4" s="1595"/>
      <c r="H4" s="1595"/>
      <c r="I4" s="385"/>
      <c r="J4" s="385"/>
      <c r="K4" s="385"/>
      <c r="L4" s="385"/>
    </row>
    <row r="5" spans="1:12">
      <c r="A5" s="172"/>
      <c r="B5" s="384"/>
      <c r="C5" s="384"/>
      <c r="D5" s="384"/>
      <c r="E5" s="384"/>
      <c r="F5" s="384"/>
      <c r="G5" s="384"/>
      <c r="H5" s="384"/>
      <c r="I5" s="384"/>
      <c r="J5" s="384"/>
      <c r="K5" s="384"/>
      <c r="L5" s="384"/>
    </row>
    <row r="6" spans="1:12">
      <c r="A6" s="172"/>
      <c r="B6" s="384"/>
      <c r="C6" s="384"/>
      <c r="D6" s="384"/>
      <c r="E6" s="384"/>
      <c r="F6" s="384"/>
      <c r="G6" s="384"/>
      <c r="H6" s="384"/>
      <c r="I6" s="384"/>
      <c r="J6" s="384"/>
      <c r="K6" s="384"/>
      <c r="L6" s="384"/>
    </row>
    <row r="7" spans="1:12" ht="16.5" thickBot="1">
      <c r="A7" s="172"/>
      <c r="B7" s="909"/>
      <c r="C7" s="910"/>
      <c r="D7" s="910"/>
      <c r="E7" s="910"/>
      <c r="F7" s="910"/>
      <c r="G7" s="910"/>
      <c r="H7" s="910"/>
      <c r="I7" s="910"/>
      <c r="J7" s="910"/>
      <c r="K7" s="910"/>
      <c r="L7" s="910"/>
    </row>
    <row r="8" spans="1:12" ht="47.25">
      <c r="A8" s="172"/>
      <c r="B8" s="911" t="str">
        <f>"Reconciliation Revenue Requirement For Year 2021 Available May 25, 2022"</f>
        <v>Reconciliation Revenue Requirement For Year 2021 Available May 25, 2022</v>
      </c>
      <c r="C8" s="910"/>
      <c r="D8" s="910"/>
      <c r="E8" s="911" t="s">
        <v>969</v>
      </c>
      <c r="F8" s="910"/>
      <c r="G8" s="910"/>
      <c r="H8" s="385"/>
      <c r="I8" s="911" t="s">
        <v>567</v>
      </c>
      <c r="J8" s="385"/>
      <c r="K8" s="385"/>
      <c r="L8" s="385"/>
    </row>
    <row r="9" spans="1:12" ht="15.75">
      <c r="A9" s="172"/>
      <c r="B9" s="912" t="s">
        <v>416</v>
      </c>
      <c r="C9" s="910"/>
      <c r="D9" s="910"/>
      <c r="E9" s="912"/>
      <c r="F9" s="910"/>
      <c r="G9" s="910"/>
      <c r="H9" s="385"/>
      <c r="I9" s="913"/>
      <c r="J9" s="385"/>
      <c r="K9" s="385"/>
      <c r="L9" s="385"/>
    </row>
    <row r="10" spans="1:12" ht="16.5" thickBot="1">
      <c r="A10" s="172"/>
      <c r="B10" s="908">
        <v>0</v>
      </c>
      <c r="C10" s="914" t="str">
        <f>"-"</f>
        <v>-</v>
      </c>
      <c r="D10" s="915"/>
      <c r="E10" s="908">
        <v>0</v>
      </c>
      <c r="F10" s="916"/>
      <c r="G10" s="917" t="str">
        <f>"="</f>
        <v>=</v>
      </c>
      <c r="H10" s="918"/>
      <c r="I10" s="919">
        <f>IF(B10=0,0,E10-B10)</f>
        <v>0</v>
      </c>
      <c r="J10" s="385"/>
      <c r="K10" s="385"/>
      <c r="L10" s="385"/>
    </row>
    <row r="11" spans="1:12" ht="15.75">
      <c r="A11" s="172"/>
      <c r="B11" s="920"/>
      <c r="C11" s="921"/>
      <c r="D11" s="921"/>
      <c r="E11" s="920"/>
      <c r="F11" s="920"/>
      <c r="G11" s="921"/>
      <c r="H11" s="920"/>
      <c r="I11" s="385"/>
      <c r="J11" s="385"/>
      <c r="K11" s="385"/>
      <c r="L11" s="385"/>
    </row>
    <row r="12" spans="1:12" ht="16.5" thickBot="1">
      <c r="A12" s="172"/>
      <c r="B12" s="922"/>
      <c r="C12" s="923"/>
      <c r="D12" s="923"/>
      <c r="E12" s="922"/>
      <c r="F12" s="922"/>
      <c r="G12" s="923"/>
      <c r="H12" s="922"/>
      <c r="I12" s="924"/>
      <c r="J12" s="924"/>
      <c r="K12" s="924"/>
      <c r="L12" s="924"/>
    </row>
    <row r="13" spans="1:12" ht="15.75">
      <c r="A13" s="172"/>
      <c r="B13" s="925"/>
      <c r="C13" s="921"/>
      <c r="D13" s="921"/>
      <c r="E13" s="920"/>
      <c r="F13" s="920"/>
      <c r="G13" s="921"/>
      <c r="H13" s="920"/>
      <c r="I13" s="385"/>
      <c r="J13" s="385"/>
      <c r="K13" s="385"/>
      <c r="L13" s="385"/>
    </row>
    <row r="14" spans="1:12" ht="47.25">
      <c r="A14" s="172"/>
      <c r="B14" s="926" t="s">
        <v>624</v>
      </c>
      <c r="C14" s="921"/>
      <c r="D14" s="921"/>
      <c r="E14" s="927" t="s">
        <v>568</v>
      </c>
      <c r="F14" s="920"/>
      <c r="G14" s="927" t="s">
        <v>569</v>
      </c>
      <c r="H14" s="928" t="s">
        <v>570</v>
      </c>
      <c r="I14" s="929" t="s">
        <v>571</v>
      </c>
      <c r="J14" s="927" t="s">
        <v>572</v>
      </c>
      <c r="K14" s="930"/>
      <c r="L14" s="927" t="s">
        <v>573</v>
      </c>
    </row>
    <row r="15" spans="1:12" ht="15.75">
      <c r="A15" s="172"/>
      <c r="B15" s="926" t="s">
        <v>826</v>
      </c>
      <c r="C15" s="921"/>
      <c r="D15" s="921"/>
      <c r="E15" s="385"/>
      <c r="F15" s="931"/>
      <c r="G15" s="944">
        <f>'WS R Interest'!G15</f>
        <v>4.0949999999999997E-3</v>
      </c>
      <c r="H15" s="172"/>
      <c r="I15" s="385"/>
      <c r="J15" s="385"/>
      <c r="K15" s="385"/>
      <c r="L15" s="385"/>
    </row>
    <row r="16" spans="1:12" ht="15.75">
      <c r="A16" s="172"/>
      <c r="B16" s="926"/>
      <c r="C16" s="921"/>
      <c r="D16" s="921"/>
      <c r="E16" s="385"/>
      <c r="F16" s="931"/>
      <c r="G16" s="931"/>
      <c r="H16" s="920"/>
      <c r="I16" s="385"/>
      <c r="J16" s="385"/>
      <c r="K16" s="385"/>
      <c r="L16" s="385"/>
    </row>
    <row r="17" spans="1:12" ht="15.75">
      <c r="A17" s="172"/>
      <c r="B17" s="926" t="s">
        <v>950</v>
      </c>
      <c r="C17" s="921"/>
      <c r="D17" s="921"/>
      <c r="E17" s="385"/>
      <c r="F17" s="931"/>
      <c r="G17" s="931"/>
      <c r="H17" s="920"/>
      <c r="I17" s="385"/>
      <c r="J17" s="385"/>
      <c r="K17" s="385"/>
      <c r="L17" s="385"/>
    </row>
    <row r="18" spans="1:12" ht="15.75">
      <c r="A18" s="172"/>
      <c r="B18" s="932" t="s">
        <v>416</v>
      </c>
      <c r="C18" s="921"/>
      <c r="D18" s="921"/>
      <c r="E18" s="921"/>
      <c r="F18" s="921"/>
      <c r="G18" s="921" t="s">
        <v>416</v>
      </c>
      <c r="H18" s="385"/>
      <c r="I18" s="385"/>
      <c r="J18" s="385"/>
      <c r="K18" s="385"/>
      <c r="L18" s="385"/>
    </row>
    <row r="19" spans="1:12" ht="15.75">
      <c r="A19" s="172"/>
      <c r="B19" s="933"/>
      <c r="C19" s="921"/>
      <c r="D19" s="921"/>
      <c r="E19" s="921"/>
      <c r="F19" s="921"/>
      <c r="G19" s="385"/>
      <c r="H19" s="385"/>
      <c r="I19" s="928"/>
      <c r="J19" s="921"/>
      <c r="K19" s="921"/>
      <c r="L19" s="921"/>
    </row>
    <row r="20" spans="1:12" ht="15.75">
      <c r="A20" s="172"/>
      <c r="B20" s="933" t="s">
        <v>574</v>
      </c>
      <c r="C20" s="921"/>
      <c r="D20" s="921"/>
      <c r="E20" s="921"/>
      <c r="F20" s="921"/>
      <c r="G20" s="385"/>
      <c r="H20" s="385"/>
      <c r="I20" s="928" t="s">
        <v>575</v>
      </c>
      <c r="J20" s="921"/>
      <c r="K20" s="921"/>
      <c r="L20" s="921"/>
    </row>
    <row r="21" spans="1:12" ht="15.75">
      <c r="A21" s="172"/>
      <c r="B21" s="910" t="s">
        <v>576</v>
      </c>
      <c r="C21" s="910" t="str">
        <f>"Year 2018"</f>
        <v>Year 2018</v>
      </c>
      <c r="D21" s="910"/>
      <c r="E21" s="934">
        <f>I10/12</f>
        <v>0</v>
      </c>
      <c r="F21" s="934"/>
      <c r="G21" s="935">
        <f>+G15</f>
        <v>4.0949999999999997E-3</v>
      </c>
      <c r="H21" s="1306">
        <v>12</v>
      </c>
      <c r="I21" s="934">
        <f>G21*E21*H21*-1</f>
        <v>0</v>
      </c>
      <c r="J21" s="934"/>
      <c r="K21" s="934"/>
      <c r="L21" s="934">
        <f>(-I21+E21)*-1</f>
        <v>0</v>
      </c>
    </row>
    <row r="22" spans="1:12" ht="15.75">
      <c r="A22" s="172"/>
      <c r="B22" s="910" t="s">
        <v>577</v>
      </c>
      <c r="C22" s="910" t="str">
        <f>C21</f>
        <v>Year 2018</v>
      </c>
      <c r="D22" s="910"/>
      <c r="E22" s="934">
        <f>+E21</f>
        <v>0</v>
      </c>
      <c r="F22" s="934"/>
      <c r="G22" s="935">
        <f>+G21</f>
        <v>4.0949999999999997E-3</v>
      </c>
      <c r="H22" s="1306">
        <f t="shared" ref="H22:H32" si="0">+H21-1</f>
        <v>11</v>
      </c>
      <c r="I22" s="934">
        <f t="shared" ref="I22:I32" si="1">G22*E22*H22*-1</f>
        <v>0</v>
      </c>
      <c r="J22" s="934"/>
      <c r="K22" s="934"/>
      <c r="L22" s="934">
        <f t="shared" ref="L22:L32" si="2">(-I22+E22)*-1</f>
        <v>0</v>
      </c>
    </row>
    <row r="23" spans="1:12" ht="15.75">
      <c r="A23" s="172"/>
      <c r="B23" s="910" t="s">
        <v>578</v>
      </c>
      <c r="C23" s="910" t="str">
        <f t="shared" ref="C23:C32" si="3">C22</f>
        <v>Year 2018</v>
      </c>
      <c r="D23" s="910"/>
      <c r="E23" s="934">
        <f t="shared" ref="E23:E32" si="4">+E22</f>
        <v>0</v>
      </c>
      <c r="F23" s="934"/>
      <c r="G23" s="935">
        <f t="shared" ref="G23:G32" si="5">+G22</f>
        <v>4.0949999999999997E-3</v>
      </c>
      <c r="H23" s="1306">
        <f t="shared" si="0"/>
        <v>10</v>
      </c>
      <c r="I23" s="934">
        <f t="shared" si="1"/>
        <v>0</v>
      </c>
      <c r="J23" s="934"/>
      <c r="K23" s="934"/>
      <c r="L23" s="934">
        <f t="shared" si="2"/>
        <v>0</v>
      </c>
    </row>
    <row r="24" spans="1:12" ht="15.75">
      <c r="A24" s="172"/>
      <c r="B24" s="910" t="s">
        <v>579</v>
      </c>
      <c r="C24" s="910" t="str">
        <f t="shared" si="3"/>
        <v>Year 2018</v>
      </c>
      <c r="D24" s="910"/>
      <c r="E24" s="934">
        <f t="shared" si="4"/>
        <v>0</v>
      </c>
      <c r="F24" s="934"/>
      <c r="G24" s="935">
        <f t="shared" si="5"/>
        <v>4.0949999999999997E-3</v>
      </c>
      <c r="H24" s="1306">
        <f t="shared" si="0"/>
        <v>9</v>
      </c>
      <c r="I24" s="934">
        <f t="shared" si="1"/>
        <v>0</v>
      </c>
      <c r="J24" s="934"/>
      <c r="K24" s="934"/>
      <c r="L24" s="934">
        <f t="shared" si="2"/>
        <v>0</v>
      </c>
    </row>
    <row r="25" spans="1:12" ht="15.75">
      <c r="A25" s="172"/>
      <c r="B25" s="910" t="s">
        <v>580</v>
      </c>
      <c r="C25" s="910" t="str">
        <f t="shared" si="3"/>
        <v>Year 2018</v>
      </c>
      <c r="D25" s="910"/>
      <c r="E25" s="934">
        <f t="shared" si="4"/>
        <v>0</v>
      </c>
      <c r="F25" s="934"/>
      <c r="G25" s="935">
        <f t="shared" si="5"/>
        <v>4.0949999999999997E-3</v>
      </c>
      <c r="H25" s="1306">
        <f t="shared" si="0"/>
        <v>8</v>
      </c>
      <c r="I25" s="934">
        <f t="shared" si="1"/>
        <v>0</v>
      </c>
      <c r="J25" s="934"/>
      <c r="K25" s="934"/>
      <c r="L25" s="934">
        <f t="shared" si="2"/>
        <v>0</v>
      </c>
    </row>
    <row r="26" spans="1:12" ht="15.75">
      <c r="A26" s="172"/>
      <c r="B26" s="910" t="s">
        <v>581</v>
      </c>
      <c r="C26" s="910" t="str">
        <f t="shared" si="3"/>
        <v>Year 2018</v>
      </c>
      <c r="D26" s="910"/>
      <c r="E26" s="934">
        <f t="shared" si="4"/>
        <v>0</v>
      </c>
      <c r="F26" s="934"/>
      <c r="G26" s="935">
        <f t="shared" si="5"/>
        <v>4.0949999999999997E-3</v>
      </c>
      <c r="H26" s="1306">
        <f t="shared" si="0"/>
        <v>7</v>
      </c>
      <c r="I26" s="934">
        <f t="shared" si="1"/>
        <v>0</v>
      </c>
      <c r="J26" s="934"/>
      <c r="K26" s="934"/>
      <c r="L26" s="934">
        <f t="shared" si="2"/>
        <v>0</v>
      </c>
    </row>
    <row r="27" spans="1:12" ht="15.75">
      <c r="A27" s="172"/>
      <c r="B27" s="910" t="s">
        <v>582</v>
      </c>
      <c r="C27" s="910" t="str">
        <f t="shared" si="3"/>
        <v>Year 2018</v>
      </c>
      <c r="D27" s="910"/>
      <c r="E27" s="934">
        <f t="shared" si="4"/>
        <v>0</v>
      </c>
      <c r="F27" s="934"/>
      <c r="G27" s="935">
        <f t="shared" si="5"/>
        <v>4.0949999999999997E-3</v>
      </c>
      <c r="H27" s="1306">
        <f t="shared" si="0"/>
        <v>6</v>
      </c>
      <c r="I27" s="934">
        <f t="shared" si="1"/>
        <v>0</v>
      </c>
      <c r="J27" s="934"/>
      <c r="K27" s="934"/>
      <c r="L27" s="934">
        <f t="shared" si="2"/>
        <v>0</v>
      </c>
    </row>
    <row r="28" spans="1:12" ht="15.75">
      <c r="A28" s="172"/>
      <c r="B28" s="910" t="s">
        <v>583</v>
      </c>
      <c r="C28" s="910" t="str">
        <f t="shared" si="3"/>
        <v>Year 2018</v>
      </c>
      <c r="D28" s="910"/>
      <c r="E28" s="934">
        <f t="shared" si="4"/>
        <v>0</v>
      </c>
      <c r="F28" s="934"/>
      <c r="G28" s="935">
        <f t="shared" si="5"/>
        <v>4.0949999999999997E-3</v>
      </c>
      <c r="H28" s="1306">
        <f t="shared" si="0"/>
        <v>5</v>
      </c>
      <c r="I28" s="934">
        <f t="shared" si="1"/>
        <v>0</v>
      </c>
      <c r="J28" s="934"/>
      <c r="K28" s="934"/>
      <c r="L28" s="934">
        <f t="shared" si="2"/>
        <v>0</v>
      </c>
    </row>
    <row r="29" spans="1:12" ht="15.75">
      <c r="A29" s="172"/>
      <c r="B29" s="910" t="s">
        <v>584</v>
      </c>
      <c r="C29" s="910" t="str">
        <f t="shared" si="3"/>
        <v>Year 2018</v>
      </c>
      <c r="D29" s="910"/>
      <c r="E29" s="934">
        <f t="shared" si="4"/>
        <v>0</v>
      </c>
      <c r="F29" s="934"/>
      <c r="G29" s="935">
        <f t="shared" si="5"/>
        <v>4.0949999999999997E-3</v>
      </c>
      <c r="H29" s="1306">
        <f t="shared" si="0"/>
        <v>4</v>
      </c>
      <c r="I29" s="934">
        <f t="shared" si="1"/>
        <v>0</v>
      </c>
      <c r="J29" s="934"/>
      <c r="K29" s="934"/>
      <c r="L29" s="934">
        <f t="shared" si="2"/>
        <v>0</v>
      </c>
    </row>
    <row r="30" spans="1:12" ht="15.75">
      <c r="A30" s="172"/>
      <c r="B30" s="910" t="s">
        <v>585</v>
      </c>
      <c r="C30" s="910" t="str">
        <f t="shared" si="3"/>
        <v>Year 2018</v>
      </c>
      <c r="D30" s="910"/>
      <c r="E30" s="934">
        <f t="shared" si="4"/>
        <v>0</v>
      </c>
      <c r="F30" s="934"/>
      <c r="G30" s="935">
        <f t="shared" si="5"/>
        <v>4.0949999999999997E-3</v>
      </c>
      <c r="H30" s="1306">
        <f t="shared" si="0"/>
        <v>3</v>
      </c>
      <c r="I30" s="934">
        <f t="shared" si="1"/>
        <v>0</v>
      </c>
      <c r="J30" s="934"/>
      <c r="K30" s="934"/>
      <c r="L30" s="934">
        <f t="shared" si="2"/>
        <v>0</v>
      </c>
    </row>
    <row r="31" spans="1:12" ht="15.75">
      <c r="A31" s="172"/>
      <c r="B31" s="910" t="s">
        <v>586</v>
      </c>
      <c r="C31" s="910" t="str">
        <f t="shared" si="3"/>
        <v>Year 2018</v>
      </c>
      <c r="D31" s="910"/>
      <c r="E31" s="934">
        <f t="shared" si="4"/>
        <v>0</v>
      </c>
      <c r="F31" s="934"/>
      <c r="G31" s="935">
        <f t="shared" si="5"/>
        <v>4.0949999999999997E-3</v>
      </c>
      <c r="H31" s="1306">
        <f t="shared" si="0"/>
        <v>2</v>
      </c>
      <c r="I31" s="934">
        <f t="shared" si="1"/>
        <v>0</v>
      </c>
      <c r="J31" s="934"/>
      <c r="K31" s="934"/>
      <c r="L31" s="934">
        <f t="shared" si="2"/>
        <v>0</v>
      </c>
    </row>
    <row r="32" spans="1:12" ht="15.75">
      <c r="A32" s="172"/>
      <c r="B32" s="910" t="s">
        <v>587</v>
      </c>
      <c r="C32" s="910" t="str">
        <f t="shared" si="3"/>
        <v>Year 2018</v>
      </c>
      <c r="D32" s="910"/>
      <c r="E32" s="934">
        <f t="shared" si="4"/>
        <v>0</v>
      </c>
      <c r="F32" s="934"/>
      <c r="G32" s="935">
        <f t="shared" si="5"/>
        <v>4.0949999999999997E-3</v>
      </c>
      <c r="H32" s="1306">
        <f t="shared" si="0"/>
        <v>1</v>
      </c>
      <c r="I32" s="936">
        <f t="shared" si="1"/>
        <v>0</v>
      </c>
      <c r="J32" s="934"/>
      <c r="K32" s="934"/>
      <c r="L32" s="934">
        <f t="shared" si="2"/>
        <v>0</v>
      </c>
    </row>
    <row r="33" spans="1:12" ht="15.75">
      <c r="A33" s="172"/>
      <c r="B33" s="910"/>
      <c r="C33" s="910"/>
      <c r="D33" s="910"/>
      <c r="E33" s="934"/>
      <c r="F33" s="934"/>
      <c r="G33" s="935"/>
      <c r="H33" s="921"/>
      <c r="I33" s="934">
        <f>SUM(I21:I32)</f>
        <v>0</v>
      </c>
      <c r="J33" s="934"/>
      <c r="K33" s="934"/>
      <c r="L33" s="937">
        <f>SUM(L21:L32)</f>
        <v>0</v>
      </c>
    </row>
    <row r="34" spans="1:12" ht="15.75">
      <c r="A34" s="172"/>
      <c r="B34" s="910"/>
      <c r="C34" s="910"/>
      <c r="D34" s="910"/>
      <c r="E34" s="934"/>
      <c r="F34" s="934"/>
      <c r="G34" s="935"/>
      <c r="H34" s="921"/>
      <c r="I34" s="934"/>
      <c r="J34" s="934" t="s">
        <v>416</v>
      </c>
      <c r="K34" s="934"/>
      <c r="L34" s="385"/>
    </row>
    <row r="35" spans="1:12" ht="15.75">
      <c r="A35" s="172"/>
      <c r="B35" s="910"/>
      <c r="C35" s="910"/>
      <c r="D35" s="910"/>
      <c r="E35" s="920"/>
      <c r="F35" s="920"/>
      <c r="G35" s="935"/>
      <c r="H35" s="921"/>
      <c r="I35" s="938" t="s">
        <v>588</v>
      </c>
      <c r="J35" s="934"/>
      <c r="K35" s="934"/>
      <c r="L35" s="934"/>
    </row>
    <row r="36" spans="1:12" ht="15.75">
      <c r="A36" s="172"/>
      <c r="B36" s="910" t="s">
        <v>589</v>
      </c>
      <c r="C36" s="910" t="str">
        <f>"Year 2019"</f>
        <v>Year 2019</v>
      </c>
      <c r="D36" s="910"/>
      <c r="E36" s="920">
        <f>L33</f>
        <v>0</v>
      </c>
      <c r="F36" s="920"/>
      <c r="G36" s="935">
        <f>+G32</f>
        <v>4.0949999999999997E-3</v>
      </c>
      <c r="H36" s="1306">
        <v>12</v>
      </c>
      <c r="I36" s="934">
        <f>+H36*G36*E36</f>
        <v>0</v>
      </c>
      <c r="J36" s="934"/>
      <c r="K36" s="934"/>
      <c r="L36" s="937">
        <f>+E36+I36</f>
        <v>0</v>
      </c>
    </row>
    <row r="37" spans="1:12" ht="15.75">
      <c r="A37" s="172"/>
      <c r="B37" s="910"/>
      <c r="C37" s="910"/>
      <c r="D37" s="910"/>
      <c r="E37" s="920"/>
      <c r="F37" s="920"/>
      <c r="G37" s="935"/>
      <c r="H37" s="910"/>
      <c r="I37" s="934"/>
      <c r="J37" s="934"/>
      <c r="K37" s="934"/>
      <c r="L37" s="934"/>
    </row>
    <row r="38" spans="1:12" ht="15.75">
      <c r="A38" s="172"/>
      <c r="B38" s="939" t="s">
        <v>590</v>
      </c>
      <c r="C38" s="910"/>
      <c r="D38" s="910"/>
      <c r="E38" s="934"/>
      <c r="F38" s="934"/>
      <c r="G38" s="935"/>
      <c r="H38" s="910"/>
      <c r="I38" s="938" t="s">
        <v>575</v>
      </c>
      <c r="J38" s="934"/>
      <c r="K38" s="934"/>
      <c r="L38" s="934"/>
    </row>
    <row r="39" spans="1:12" ht="15.75">
      <c r="A39" s="172"/>
      <c r="B39" s="910" t="s">
        <v>576</v>
      </c>
      <c r="C39" s="910" t="str">
        <f>"Year 2020"</f>
        <v>Year 2020</v>
      </c>
      <c r="D39" s="910"/>
      <c r="E39" s="940">
        <f>-L36</f>
        <v>0</v>
      </c>
      <c r="F39" s="920"/>
      <c r="G39" s="935">
        <f>+G32</f>
        <v>4.0949999999999997E-3</v>
      </c>
      <c r="H39" s="910"/>
      <c r="I39" s="934">
        <f xml:space="preserve"> -G39*E39</f>
        <v>0</v>
      </c>
      <c r="J39" s="934">
        <f>PMT(G39,12,L$36)</f>
        <v>0</v>
      </c>
      <c r="K39" s="934"/>
      <c r="L39" s="934">
        <f>(+E39+E39*G39-J39)*-1</f>
        <v>0</v>
      </c>
    </row>
    <row r="40" spans="1:12" ht="15.75">
      <c r="A40" s="172"/>
      <c r="B40" s="910" t="s">
        <v>577</v>
      </c>
      <c r="C40" s="910" t="str">
        <f>+C39</f>
        <v>Year 2020</v>
      </c>
      <c r="D40" s="910"/>
      <c r="E40" s="920">
        <f>-L39</f>
        <v>0</v>
      </c>
      <c r="F40" s="920"/>
      <c r="G40" s="935">
        <f>+G39</f>
        <v>4.0949999999999997E-3</v>
      </c>
      <c r="H40" s="910"/>
      <c r="I40" s="934">
        <f xml:space="preserve"> -G40*E40</f>
        <v>0</v>
      </c>
      <c r="J40" s="934">
        <f>J39</f>
        <v>0</v>
      </c>
      <c r="K40" s="934"/>
      <c r="L40" s="934">
        <f t="shared" ref="L40:L50" si="6">(+E40+E40*G40-J40)*-1</f>
        <v>0</v>
      </c>
    </row>
    <row r="41" spans="1:12" ht="15.75">
      <c r="A41" s="172"/>
      <c r="B41" s="910" t="s">
        <v>578</v>
      </c>
      <c r="C41" s="910" t="str">
        <f>+C40</f>
        <v>Year 2020</v>
      </c>
      <c r="D41" s="910"/>
      <c r="E41" s="920">
        <f t="shared" ref="E41:E50" si="7">-L40</f>
        <v>0</v>
      </c>
      <c r="F41" s="920"/>
      <c r="G41" s="935">
        <f t="shared" ref="G41:G50" si="8">+G40</f>
        <v>4.0949999999999997E-3</v>
      </c>
      <c r="H41" s="910"/>
      <c r="I41" s="934">
        <f t="shared" ref="I41:I50" si="9" xml:space="preserve"> -G41*E41</f>
        <v>0</v>
      </c>
      <c r="J41" s="934">
        <f t="shared" ref="J41:J50" si="10">J40</f>
        <v>0</v>
      </c>
      <c r="K41" s="934"/>
      <c r="L41" s="934">
        <f t="shared" si="6"/>
        <v>0</v>
      </c>
    </row>
    <row r="42" spans="1:12" ht="15.75">
      <c r="A42" s="172"/>
      <c r="B42" s="910" t="s">
        <v>579</v>
      </c>
      <c r="C42" s="910" t="str">
        <f>+C41</f>
        <v>Year 2020</v>
      </c>
      <c r="D42" s="910"/>
      <c r="E42" s="920">
        <f t="shared" si="7"/>
        <v>0</v>
      </c>
      <c r="F42" s="920"/>
      <c r="G42" s="935">
        <f t="shared" si="8"/>
        <v>4.0949999999999997E-3</v>
      </c>
      <c r="H42" s="910"/>
      <c r="I42" s="934">
        <f t="shared" si="9"/>
        <v>0</v>
      </c>
      <c r="J42" s="934">
        <f t="shared" si="10"/>
        <v>0</v>
      </c>
      <c r="K42" s="934"/>
      <c r="L42" s="934">
        <f t="shared" si="6"/>
        <v>0</v>
      </c>
    </row>
    <row r="43" spans="1:12" ht="15.75">
      <c r="A43" s="172"/>
      <c r="B43" s="910" t="s">
        <v>580</v>
      </c>
      <c r="C43" s="910" t="str">
        <f>+C42</f>
        <v>Year 2020</v>
      </c>
      <c r="D43" s="910"/>
      <c r="E43" s="920">
        <f t="shared" si="7"/>
        <v>0</v>
      </c>
      <c r="F43" s="920"/>
      <c r="G43" s="935">
        <f t="shared" si="8"/>
        <v>4.0949999999999997E-3</v>
      </c>
      <c r="H43" s="910"/>
      <c r="I43" s="934">
        <f t="shared" si="9"/>
        <v>0</v>
      </c>
      <c r="J43" s="934">
        <f>J42</f>
        <v>0</v>
      </c>
      <c r="K43" s="934"/>
      <c r="L43" s="934">
        <f t="shared" si="6"/>
        <v>0</v>
      </c>
    </row>
    <row r="44" spans="1:12" ht="15.75">
      <c r="A44" s="172"/>
      <c r="B44" s="910" t="s">
        <v>581</v>
      </c>
      <c r="C44" s="910" t="str">
        <f>C43</f>
        <v>Year 2020</v>
      </c>
      <c r="D44" s="385"/>
      <c r="E44" s="920">
        <f t="shared" si="7"/>
        <v>0</v>
      </c>
      <c r="F44" s="920"/>
      <c r="G44" s="935">
        <f t="shared" si="8"/>
        <v>4.0949999999999997E-3</v>
      </c>
      <c r="H44" s="910"/>
      <c r="I44" s="934">
        <f t="shared" si="9"/>
        <v>0</v>
      </c>
      <c r="J44" s="934">
        <f t="shared" si="10"/>
        <v>0</v>
      </c>
      <c r="K44" s="934"/>
      <c r="L44" s="934">
        <f t="shared" si="6"/>
        <v>0</v>
      </c>
    </row>
    <row r="45" spans="1:12" ht="15.75">
      <c r="A45" s="172"/>
      <c r="B45" s="910" t="s">
        <v>582</v>
      </c>
      <c r="C45" s="910" t="str">
        <f t="shared" ref="C45:C50" si="11">+C44</f>
        <v>Year 2020</v>
      </c>
      <c r="D45" s="910"/>
      <c r="E45" s="920">
        <f t="shared" si="7"/>
        <v>0</v>
      </c>
      <c r="F45" s="920"/>
      <c r="G45" s="935">
        <f t="shared" si="8"/>
        <v>4.0949999999999997E-3</v>
      </c>
      <c r="H45" s="910"/>
      <c r="I45" s="934">
        <f t="shared" si="9"/>
        <v>0</v>
      </c>
      <c r="J45" s="934">
        <f t="shared" si="10"/>
        <v>0</v>
      </c>
      <c r="K45" s="934"/>
      <c r="L45" s="934">
        <f t="shared" si="6"/>
        <v>0</v>
      </c>
    </row>
    <row r="46" spans="1:12" ht="15.75">
      <c r="A46" s="172"/>
      <c r="B46" s="910" t="s">
        <v>583</v>
      </c>
      <c r="C46" s="910" t="str">
        <f t="shared" si="11"/>
        <v>Year 2020</v>
      </c>
      <c r="D46" s="910"/>
      <c r="E46" s="920">
        <f t="shared" si="7"/>
        <v>0</v>
      </c>
      <c r="F46" s="920"/>
      <c r="G46" s="935">
        <f t="shared" si="8"/>
        <v>4.0949999999999997E-3</v>
      </c>
      <c r="H46" s="910"/>
      <c r="I46" s="934">
        <f t="shared" si="9"/>
        <v>0</v>
      </c>
      <c r="J46" s="934">
        <f t="shared" si="10"/>
        <v>0</v>
      </c>
      <c r="K46" s="934"/>
      <c r="L46" s="934">
        <f t="shared" si="6"/>
        <v>0</v>
      </c>
    </row>
    <row r="47" spans="1:12" ht="15.75">
      <c r="A47" s="172"/>
      <c r="B47" s="910" t="s">
        <v>584</v>
      </c>
      <c r="C47" s="910" t="str">
        <f t="shared" si="11"/>
        <v>Year 2020</v>
      </c>
      <c r="D47" s="910"/>
      <c r="E47" s="920">
        <f t="shared" si="7"/>
        <v>0</v>
      </c>
      <c r="F47" s="920"/>
      <c r="G47" s="935">
        <f t="shared" si="8"/>
        <v>4.0949999999999997E-3</v>
      </c>
      <c r="H47" s="910"/>
      <c r="I47" s="934">
        <f t="shared" si="9"/>
        <v>0</v>
      </c>
      <c r="J47" s="934">
        <f>J46</f>
        <v>0</v>
      </c>
      <c r="K47" s="934"/>
      <c r="L47" s="934">
        <f t="shared" si="6"/>
        <v>0</v>
      </c>
    </row>
    <row r="48" spans="1:12" ht="15.75">
      <c r="A48" s="172"/>
      <c r="B48" s="910" t="s">
        <v>585</v>
      </c>
      <c r="C48" s="910" t="str">
        <f t="shared" si="11"/>
        <v>Year 2020</v>
      </c>
      <c r="D48" s="910"/>
      <c r="E48" s="920">
        <f t="shared" si="7"/>
        <v>0</v>
      </c>
      <c r="F48" s="920"/>
      <c r="G48" s="935">
        <f t="shared" si="8"/>
        <v>4.0949999999999997E-3</v>
      </c>
      <c r="H48" s="910"/>
      <c r="I48" s="934">
        <f t="shared" si="9"/>
        <v>0</v>
      </c>
      <c r="J48" s="934">
        <f t="shared" si="10"/>
        <v>0</v>
      </c>
      <c r="K48" s="934"/>
      <c r="L48" s="934">
        <f t="shared" si="6"/>
        <v>0</v>
      </c>
    </row>
    <row r="49" spans="1:12" ht="15.75">
      <c r="A49" s="172"/>
      <c r="B49" s="910" t="s">
        <v>586</v>
      </c>
      <c r="C49" s="910" t="str">
        <f t="shared" si="11"/>
        <v>Year 2020</v>
      </c>
      <c r="D49" s="910"/>
      <c r="E49" s="920">
        <f t="shared" si="7"/>
        <v>0</v>
      </c>
      <c r="F49" s="920"/>
      <c r="G49" s="935">
        <f t="shared" si="8"/>
        <v>4.0949999999999997E-3</v>
      </c>
      <c r="H49" s="910"/>
      <c r="I49" s="934">
        <f t="shared" si="9"/>
        <v>0</v>
      </c>
      <c r="J49" s="934">
        <f t="shared" si="10"/>
        <v>0</v>
      </c>
      <c r="K49" s="934"/>
      <c r="L49" s="934">
        <f t="shared" si="6"/>
        <v>0</v>
      </c>
    </row>
    <row r="50" spans="1:12" ht="15.75">
      <c r="A50" s="172"/>
      <c r="B50" s="910" t="s">
        <v>587</v>
      </c>
      <c r="C50" s="910" t="str">
        <f t="shared" si="11"/>
        <v>Year 2020</v>
      </c>
      <c r="D50" s="910"/>
      <c r="E50" s="920">
        <f t="shared" si="7"/>
        <v>0</v>
      </c>
      <c r="F50" s="920"/>
      <c r="G50" s="935">
        <f t="shared" si="8"/>
        <v>4.0949999999999997E-3</v>
      </c>
      <c r="H50" s="910"/>
      <c r="I50" s="936">
        <f t="shared" si="9"/>
        <v>0</v>
      </c>
      <c r="J50" s="934">
        <f t="shared" si="10"/>
        <v>0</v>
      </c>
      <c r="K50" s="934"/>
      <c r="L50" s="934">
        <f t="shared" si="6"/>
        <v>0</v>
      </c>
    </row>
    <row r="51" spans="1:12" ht="15.75">
      <c r="A51" s="172"/>
      <c r="B51" s="910"/>
      <c r="C51" s="910"/>
      <c r="D51" s="910"/>
      <c r="E51" s="920"/>
      <c r="F51" s="920"/>
      <c r="G51" s="935"/>
      <c r="H51" s="910"/>
      <c r="I51" s="934">
        <f>SUM(I39:I50)</f>
        <v>0</v>
      </c>
      <c r="J51" s="934"/>
      <c r="K51" s="934"/>
      <c r="L51" s="934"/>
    </row>
    <row r="52" spans="1:12" ht="15">
      <c r="A52" s="172"/>
      <c r="B52" s="385"/>
      <c r="C52" s="385"/>
      <c r="D52" s="385"/>
      <c r="E52" s="385"/>
      <c r="F52" s="385"/>
      <c r="G52" s="385"/>
      <c r="H52" s="385"/>
      <c r="I52" s="385"/>
      <c r="J52" s="941"/>
      <c r="K52" s="385"/>
      <c r="L52" s="385"/>
    </row>
    <row r="53" spans="1:12" ht="15.75">
      <c r="A53" s="172"/>
      <c r="B53" s="910" t="s">
        <v>591</v>
      </c>
      <c r="C53" s="385"/>
      <c r="D53" s="385"/>
      <c r="E53" s="385"/>
      <c r="F53" s="385"/>
      <c r="G53" s="385"/>
      <c r="H53" s="385"/>
      <c r="I53" s="385"/>
      <c r="J53" s="942">
        <f>(SUM(J39:J50)*-1)</f>
        <v>0</v>
      </c>
      <c r="K53" s="385"/>
      <c r="L53" s="385"/>
    </row>
    <row r="54" spans="1:12" ht="15.75">
      <c r="A54" s="172"/>
      <c r="B54" s="910" t="s">
        <v>592</v>
      </c>
      <c r="C54" s="385"/>
      <c r="D54" s="385"/>
      <c r="E54" s="385"/>
      <c r="F54" s="385"/>
      <c r="G54" s="385"/>
      <c r="H54" s="385"/>
      <c r="I54" s="385"/>
      <c r="J54" s="943">
        <f>+I10</f>
        <v>0</v>
      </c>
      <c r="K54" s="385"/>
      <c r="L54" s="385"/>
    </row>
    <row r="55" spans="1:12" ht="15.75">
      <c r="A55" s="172"/>
      <c r="B55" s="910" t="s">
        <v>593</v>
      </c>
      <c r="C55" s="385"/>
      <c r="D55" s="385"/>
      <c r="E55" s="385"/>
      <c r="F55" s="385"/>
      <c r="G55" s="385"/>
      <c r="H55" s="385"/>
      <c r="I55" s="385"/>
      <c r="J55" s="942">
        <f>(J53+J54)</f>
        <v>0</v>
      </c>
      <c r="K55" s="385"/>
      <c r="L55" s="385"/>
    </row>
    <row r="56" spans="1:12">
      <c r="A56" s="172"/>
      <c r="B56" s="384"/>
      <c r="C56" s="384"/>
      <c r="D56" s="384"/>
      <c r="E56" s="384"/>
      <c r="F56" s="384"/>
      <c r="G56" s="384"/>
      <c r="H56" s="384"/>
      <c r="I56" s="384"/>
      <c r="J56" s="384"/>
      <c r="K56" s="384"/>
      <c r="L56" s="384"/>
    </row>
    <row r="57" spans="1:12" ht="50.25" customHeight="1">
      <c r="A57" s="172"/>
      <c r="B57" s="1597" t="s">
        <v>594</v>
      </c>
      <c r="C57" s="1597"/>
      <c r="D57" s="1597"/>
      <c r="E57" s="1597"/>
      <c r="F57" s="1597"/>
      <c r="G57" s="1597"/>
      <c r="H57" s="1597"/>
      <c r="I57" s="1597"/>
      <c r="J57" s="1597"/>
      <c r="K57" s="1308"/>
      <c r="L57" s="1308"/>
    </row>
  </sheetData>
  <mergeCells count="5">
    <mergeCell ref="B1:L1"/>
    <mergeCell ref="B2:L2"/>
    <mergeCell ref="B3:L3"/>
    <mergeCell ref="E4:H4"/>
    <mergeCell ref="B57:J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topLeftCell="A7" zoomScale="70" zoomScaleNormal="75" zoomScaleSheetLayoutView="70" workbookViewId="0">
      <selection activeCell="F41" sqref="F41"/>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95" t="s">
        <v>416</v>
      </c>
    </row>
    <row r="2" spans="1:12" ht="15.75">
      <c r="A2" s="995" t="s">
        <v>416</v>
      </c>
    </row>
    <row r="3" spans="1:12" ht="15">
      <c r="A3" s="1506" t="str">
        <f>TCOS!$F$5</f>
        <v>AEPTCo subsidiaries in PJM</v>
      </c>
      <c r="B3" s="1506" t="str">
        <f>TCOS!$F$5</f>
        <v>AEPTCo subsidiaries in PJM</v>
      </c>
      <c r="C3" s="1506" t="str">
        <f>TCOS!$F$5</f>
        <v>AEPTCo subsidiaries in PJM</v>
      </c>
      <c r="D3" s="1506" t="str">
        <f>TCOS!$F$5</f>
        <v>AEPTCo subsidiaries in PJM</v>
      </c>
      <c r="E3" s="1506" t="str">
        <f>TCOS!$F$5</f>
        <v>AEPTCo subsidiaries in PJM</v>
      </c>
      <c r="F3" s="1506" t="str">
        <f>TCOS!$F$5</f>
        <v>AEPTCo subsidiaries in PJM</v>
      </c>
      <c r="G3" s="1506" t="str">
        <f>TCOS!$F$5</f>
        <v>AEPTCo subsidiaries in PJM</v>
      </c>
      <c r="H3" s="1506" t="str">
        <f>TCOS!$F$5</f>
        <v>AEPTCo subsidiaries in PJM</v>
      </c>
      <c r="I3" s="1506" t="str">
        <f>TCOS!$F$5</f>
        <v>AEPTCo subsidiaries in PJM</v>
      </c>
      <c r="J3" s="21"/>
    </row>
    <row r="4" spans="1:12" ht="15">
      <c r="A4" s="1498" t="str">
        <f>"Cost of Service Formula Rate Using Actual/Projected FF1 Balances"</f>
        <v>Cost of Service Formula Rate Using Actual/Projected FF1 Balances</v>
      </c>
      <c r="B4" s="1498"/>
      <c r="C4" s="1498"/>
      <c r="D4" s="1498"/>
      <c r="E4" s="1498"/>
      <c r="F4" s="1498"/>
      <c r="G4" s="1498"/>
      <c r="H4" s="1498"/>
      <c r="I4" s="1498"/>
      <c r="J4" s="53"/>
    </row>
    <row r="5" spans="1:12" ht="15">
      <c r="A5" s="1498" t="s">
        <v>272</v>
      </c>
      <c r="B5" s="1498"/>
      <c r="C5" s="1498"/>
      <c r="D5" s="1498"/>
      <c r="E5" s="1498"/>
      <c r="F5" s="1498"/>
      <c r="G5" s="1498"/>
      <c r="H5" s="1498"/>
      <c r="I5" s="1498"/>
      <c r="J5" s="52"/>
    </row>
    <row r="6" spans="1:12" ht="15">
      <c r="A6" s="1509" t="str">
        <f>TCOS!F9</f>
        <v>AEP Indiana Michigan Transmission Company</v>
      </c>
      <c r="B6" s="1509"/>
      <c r="C6" s="1509"/>
      <c r="D6" s="1509"/>
      <c r="E6" s="1509"/>
      <c r="F6" s="1509"/>
      <c r="G6" s="1509"/>
      <c r="H6" s="1509"/>
      <c r="I6" s="1509"/>
      <c r="J6" s="3"/>
    </row>
    <row r="7" spans="1:12">
      <c r="C7" s="17"/>
      <c r="D7" s="17"/>
    </row>
    <row r="8" spans="1:12" ht="15">
      <c r="A8" s="965"/>
      <c r="B8" s="976"/>
      <c r="C8" s="980" t="s">
        <v>462</v>
      </c>
      <c r="D8" s="980" t="s">
        <v>463</v>
      </c>
      <c r="E8" s="980" t="s">
        <v>464</v>
      </c>
      <c r="F8" s="965"/>
      <c r="G8" s="980" t="s">
        <v>465</v>
      </c>
      <c r="H8" s="965"/>
      <c r="I8" s="980" t="s">
        <v>385</v>
      </c>
      <c r="J8" s="5"/>
      <c r="K8"/>
      <c r="L8"/>
    </row>
    <row r="9" spans="1:12" ht="15">
      <c r="A9" s="964"/>
      <c r="B9" s="976"/>
      <c r="C9" s="965"/>
      <c r="D9" s="965"/>
      <c r="E9" s="965"/>
      <c r="F9" s="965"/>
      <c r="G9" s="965"/>
      <c r="H9" s="965"/>
      <c r="I9" s="981"/>
      <c r="J9"/>
      <c r="K9"/>
      <c r="L9"/>
    </row>
    <row r="10" spans="1:12" ht="12.75" customHeight="1">
      <c r="A10" s="979" t="s">
        <v>469</v>
      </c>
      <c r="B10" s="976"/>
      <c r="C10" s="982"/>
      <c r="D10" s="982"/>
      <c r="E10" s="1507" t="str">
        <f>"Balance @    December 31, "&amp;TCOS!L4&amp;""</f>
        <v>Balance @    December 31, 2022</v>
      </c>
      <c r="F10" s="983"/>
      <c r="G10" s="1507" t="str">
        <f>"Balance @     December 31, "&amp;TCOS!L4-1&amp;""</f>
        <v>Balance @     December 31, 2021</v>
      </c>
      <c r="H10" s="983"/>
      <c r="I10" s="1510" t="str">
        <f>"Average Balance for "&amp;TCOS!L4&amp;""</f>
        <v>Average Balance for 2022</v>
      </c>
      <c r="J10"/>
      <c r="K10"/>
      <c r="L10"/>
    </row>
    <row r="11" spans="1:12" ht="15">
      <c r="A11" s="986" t="s">
        <v>407</v>
      </c>
      <c r="B11" s="984"/>
      <c r="C11" s="979" t="s">
        <v>467</v>
      </c>
      <c r="D11" s="979" t="s">
        <v>498</v>
      </c>
      <c r="E11" s="1508"/>
      <c r="F11" s="985"/>
      <c r="G11" s="1508"/>
      <c r="H11" s="985"/>
      <c r="I11" s="1508"/>
      <c r="J11"/>
      <c r="K11"/>
      <c r="L11"/>
    </row>
    <row r="12" spans="1:12">
      <c r="A12" s="51"/>
      <c r="C12" s="17"/>
      <c r="D12" s="17"/>
      <c r="G12" s="113"/>
    </row>
    <row r="13" spans="1:12">
      <c r="A13" s="51"/>
      <c r="C13" s="17"/>
      <c r="D13" s="17"/>
    </row>
    <row r="14" spans="1:12">
      <c r="A14" s="51"/>
      <c r="C14" s="17"/>
      <c r="D14" s="17"/>
    </row>
    <row r="15" spans="1:12" ht="15.75">
      <c r="A15" s="51">
        <v>1</v>
      </c>
      <c r="C15" s="40" t="s">
        <v>305</v>
      </c>
      <c r="D15" s="40"/>
    </row>
    <row r="16" spans="1:12" ht="15.75">
      <c r="A16" s="51"/>
      <c r="C16" s="40"/>
      <c r="D16" s="979"/>
      <c r="H16"/>
    </row>
    <row r="17" spans="1:9" ht="14.25">
      <c r="A17" s="51">
        <f>+A15+1</f>
        <v>2</v>
      </c>
      <c r="C17" s="973" t="s">
        <v>311</v>
      </c>
      <c r="D17" s="977" t="s">
        <v>313</v>
      </c>
      <c r="E17" s="963">
        <f>SUM('WS B-1 - Actual Stmt. AF'!Q23:S23)</f>
        <v>0</v>
      </c>
      <c r="F17" s="968"/>
      <c r="G17" s="963">
        <f>SUM('WS B-1 - Actual Stmt. AF'!M23:O23)</f>
        <v>0</v>
      </c>
      <c r="H17" s="969"/>
      <c r="I17" s="970">
        <f>IF(G17="",0,(E17+G17)/2)</f>
        <v>0</v>
      </c>
    </row>
    <row r="18" spans="1:9" ht="14.25">
      <c r="A18" s="51">
        <f>+A17+1</f>
        <v>3</v>
      </c>
      <c r="C18" s="973" t="s">
        <v>315</v>
      </c>
      <c r="D18" s="1232" t="str">
        <f>"WS B-1 - Actual Stmt. AF Ln. " &amp;'WS B-1 - Actual Stmt. AF'!A24&amp;" (Note 1)"</f>
        <v>WS B-1 - Actual Stmt. AF Ln. 4 (Note 1)</v>
      </c>
      <c r="E18" s="963">
        <f>SUM('WS B-1 - Actual Stmt. AF'!Q24:S24)</f>
        <v>0</v>
      </c>
      <c r="F18" s="965"/>
      <c r="G18" s="963">
        <f>SUM('WS B-1 - Actual Stmt. AF'!M24:O24)</f>
        <v>0</v>
      </c>
      <c r="H18" s="969"/>
      <c r="I18" s="970">
        <f>IF(G18="",0,(E18+G18)/2)</f>
        <v>0</v>
      </c>
    </row>
    <row r="19" spans="1:9" ht="16.5">
      <c r="A19" s="51">
        <f>+A18+1</f>
        <v>4</v>
      </c>
      <c r="C19" s="973" t="s">
        <v>316</v>
      </c>
      <c r="D19" s="1232" t="str">
        <f>"WS B-1 - Actual Stmt. AF Ln. " &amp;'WS B-1 - Actual Stmt. AF'!A23&amp;" (Note 1)"</f>
        <v>WS B-1 - Actual Stmt. AF Ln. 3 (Note 1)</v>
      </c>
      <c r="E19" s="967">
        <f>SUM('WS B-1 - Actual Stmt. AF'!Q23:S23)-SUM('WS B-1 - Actual Stmt. AF'!Q24:S24)</f>
        <v>0</v>
      </c>
      <c r="F19" s="965"/>
      <c r="G19" s="967">
        <f>SUM('WS B-1 - Actual Stmt. AF'!M23:O23)-SUM('WS B-1 - Actual Stmt. AF'!M24:O24)</f>
        <v>0</v>
      </c>
      <c r="H19" s="965"/>
      <c r="I19" s="971">
        <f>IF(G19="",0,(E19+G19)/2)</f>
        <v>0</v>
      </c>
    </row>
    <row r="20" spans="1:9" ht="14.25">
      <c r="A20" s="51">
        <f>+A19+1</f>
        <v>5</v>
      </c>
      <c r="C20" s="973" t="s">
        <v>312</v>
      </c>
      <c r="D20" s="978" t="str">
        <f>"Ln "&amp;A17&amp;" - ln "&amp;A18&amp;" - ln "&amp;A19&amp;""</f>
        <v>Ln 2 - ln 3 - ln 4</v>
      </c>
      <c r="E20" s="972">
        <f>+E17-E18-E19</f>
        <v>0</v>
      </c>
      <c r="F20" s="965"/>
      <c r="G20" s="972">
        <f>+G17-G18-G19</f>
        <v>0</v>
      </c>
      <c r="H20" s="965"/>
      <c r="I20" s="970">
        <f>+I17-I18-I19</f>
        <v>0</v>
      </c>
    </row>
    <row r="21" spans="1:9" ht="14.25">
      <c r="A21" s="51"/>
      <c r="C21" s="42"/>
      <c r="D21" s="973"/>
      <c r="E21" s="965"/>
      <c r="F21" s="965"/>
      <c r="G21" s="965"/>
      <c r="H21" s="965"/>
      <c r="I21" s="965"/>
    </row>
    <row r="22" spans="1:9" ht="14.25">
      <c r="A22" s="51"/>
      <c r="C22" s="42"/>
      <c r="D22" s="973"/>
      <c r="E22" s="965"/>
      <c r="F22" s="965"/>
      <c r="G22" s="965"/>
      <c r="H22" s="965"/>
      <c r="I22" s="965"/>
    </row>
    <row r="23" spans="1:9" ht="15.75">
      <c r="A23" s="51">
        <f>+A20+1</f>
        <v>6</v>
      </c>
      <c r="C23" s="40" t="s">
        <v>306</v>
      </c>
      <c r="D23" s="973"/>
      <c r="E23" s="965"/>
      <c r="F23" s="965"/>
      <c r="G23" s="965"/>
      <c r="H23" s="965"/>
      <c r="I23" s="965"/>
    </row>
    <row r="24" spans="1:9" ht="14.25">
      <c r="A24" s="51"/>
      <c r="C24" s="42"/>
      <c r="D24" s="973"/>
      <c r="E24" s="965"/>
      <c r="F24" s="965"/>
      <c r="G24" s="965"/>
      <c r="H24" s="965"/>
      <c r="I24" s="965"/>
    </row>
    <row r="25" spans="1:9" ht="14.25">
      <c r="A25" s="51">
        <f>+A23+1</f>
        <v>7</v>
      </c>
      <c r="C25" s="973" t="s">
        <v>311</v>
      </c>
      <c r="D25" s="977" t="s">
        <v>239</v>
      </c>
      <c r="E25" s="963">
        <f>SUM('WS B-1 - Actual Stmt. AF'!Q51:S51)-'WS B-1 - Actual Stmt. AF'!D44</f>
        <v>362144483.95999998</v>
      </c>
      <c r="F25" s="968"/>
      <c r="G25" s="963">
        <f>SUM('WS B-1 - Actual Stmt. AF'!M51:O51)-'WS B-1 - Actual Stmt. AF'!C44</f>
        <v>347711720.77000004</v>
      </c>
      <c r="H25" s="969"/>
      <c r="I25" s="970">
        <f>IF(G25="",0,(E25+G25)/2)</f>
        <v>354928102.36500001</v>
      </c>
    </row>
    <row r="26" spans="1:9" ht="14.25">
      <c r="A26" s="51">
        <f>+A25+1</f>
        <v>8</v>
      </c>
      <c r="C26" s="973" t="s">
        <v>315</v>
      </c>
      <c r="D26" s="1232" t="str">
        <f>"WS B-1 - Actual Stmt. AF Ln. " &amp;'WS B-1 - Actual Stmt. AF'!A52&amp;" (Note 1)"</f>
        <v>WS B-1 - Actual Stmt. AF Ln. 7 (Note 1)</v>
      </c>
      <c r="E26" s="963">
        <f>'WS B-1 - Actual Stmt. AF'!D52</f>
        <v>0</v>
      </c>
      <c r="F26" s="965"/>
      <c r="G26" s="963">
        <f>'WS B-1 - Actual Stmt. AF'!C52</f>
        <v>0</v>
      </c>
      <c r="H26" s="969"/>
      <c r="I26" s="970">
        <f>IF(G26="",0,(E26+G26)/2)</f>
        <v>0</v>
      </c>
    </row>
    <row r="27" spans="1:9" ht="16.5">
      <c r="A27" s="51">
        <f>+A26+1</f>
        <v>9</v>
      </c>
      <c r="C27" s="973" t="s">
        <v>316</v>
      </c>
      <c r="D27" s="1232" t="str">
        <f>"WS B-1 - Actual Stmt. AF Ln. " &amp;'WS B-1 - Actual Stmt. AF'!A51&amp;" (Note 1)"</f>
        <v>WS B-1 - Actual Stmt. AF Ln. 6 (Note 1)</v>
      </c>
      <c r="E27" s="967">
        <f>('WS B-1 - Actual Stmt. AF'!Q51+'WS B-1 - Actual Stmt. AF'!S51)-('WS B-1 - Actual Stmt. AF'!Q52-'WS B-1 - Actual Stmt. AF'!S52)-'WS B-1 - Actual Stmt. AF'!D44</f>
        <v>68175465.550680056</v>
      </c>
      <c r="F27" s="965"/>
      <c r="G27" s="967">
        <f>('WS B-1 - Actual Stmt. AF'!M51+'WS B-1 - Actual Stmt. AF'!O51)-('WS B-1 - Actual Stmt. AF'!M52+'WS B-1 - Actual Stmt. AF'!O52)-'WS B-1 - Actual Stmt. AF'!C44</f>
        <v>68281710.772239223</v>
      </c>
      <c r="H27" s="965"/>
      <c r="I27" s="971">
        <f>IF(G27="",0,(E27+G27)/2)</f>
        <v>68228588.16145964</v>
      </c>
    </row>
    <row r="28" spans="1:9" ht="14.25">
      <c r="A28" s="51">
        <f>+A27+1</f>
        <v>10</v>
      </c>
      <c r="C28" s="973" t="s">
        <v>312</v>
      </c>
      <c r="D28" s="978" t="str">
        <f>"Ln "&amp;A25&amp;" - ln "&amp;A26&amp;" - ln "&amp;A27&amp;""</f>
        <v>Ln 7 - ln 8 - ln 9</v>
      </c>
      <c r="E28" s="972">
        <f>+E25-E26-E27</f>
        <v>293969018.40931994</v>
      </c>
      <c r="F28" s="968"/>
      <c r="G28" s="972">
        <f>+G25-G26-G27</f>
        <v>279430009.99776083</v>
      </c>
      <c r="H28" s="965"/>
      <c r="I28" s="970">
        <f>+I25-I26-I27</f>
        <v>286699514.20354038</v>
      </c>
    </row>
    <row r="29" spans="1:9" ht="14.25">
      <c r="A29" s="51"/>
      <c r="C29" s="42"/>
      <c r="D29" s="973"/>
      <c r="E29" s="965"/>
      <c r="F29" s="965"/>
      <c r="G29" s="965"/>
      <c r="H29" s="965"/>
      <c r="I29" s="965"/>
    </row>
    <row r="30" spans="1:9" ht="14.25">
      <c r="A30" s="51"/>
      <c r="C30" s="42"/>
      <c r="D30" s="973"/>
      <c r="E30" s="966"/>
      <c r="F30" s="965"/>
      <c r="G30" s="966"/>
      <c r="H30" s="965"/>
      <c r="I30" s="965"/>
    </row>
    <row r="31" spans="1:9" ht="15.75">
      <c r="A31" s="51">
        <f>+A28+1</f>
        <v>11</v>
      </c>
      <c r="C31" s="40" t="s">
        <v>307</v>
      </c>
      <c r="D31" s="973"/>
      <c r="E31" s="965"/>
      <c r="F31" s="965"/>
      <c r="G31" s="965"/>
      <c r="H31" s="965"/>
      <c r="I31" s="965"/>
    </row>
    <row r="32" spans="1:9" ht="15.75">
      <c r="A32" s="51"/>
      <c r="C32" s="40"/>
      <c r="D32" s="973"/>
      <c r="E32" s="965"/>
      <c r="F32" s="965"/>
      <c r="G32" s="965"/>
      <c r="H32" s="965"/>
      <c r="I32" s="965"/>
    </row>
    <row r="33" spans="1:9" ht="14.25">
      <c r="A33" s="51">
        <f>+A31+1</f>
        <v>12</v>
      </c>
      <c r="C33" s="973" t="s">
        <v>311</v>
      </c>
      <c r="D33" s="977" t="s">
        <v>314</v>
      </c>
      <c r="E33" s="963">
        <f>SUM('WS B-1 - Actual Stmt. AF'!Q75:S75)-'WS B-1 - Actual Stmt. AF'!D59</f>
        <v>46145470.460000001</v>
      </c>
      <c r="F33" s="968"/>
      <c r="G33" s="963">
        <f>SUM('WS B-1 - Actual Stmt. AF'!M75:O75)-'WS B-1 - Actual Stmt. AF'!C59</f>
        <v>34432422.170000002</v>
      </c>
      <c r="H33" s="969"/>
      <c r="I33" s="970">
        <f>IF(G33="",0,(E33+G33)/2)</f>
        <v>40288946.314999998</v>
      </c>
    </row>
    <row r="34" spans="1:9" ht="14.25">
      <c r="A34" s="51">
        <f>+A33+1</f>
        <v>13</v>
      </c>
      <c r="C34" s="973" t="s">
        <v>315</v>
      </c>
      <c r="D34" s="1232" t="str">
        <f>"WS B-1 - Actual Stmt. AF Ln. " &amp;'WS B-1 - Actual Stmt. AF'!A76&amp;" (Note 1)"</f>
        <v>WS B-1 - Actual Stmt. AF Ln. 13 (Note 1)</v>
      </c>
      <c r="E34" s="963">
        <f>SUM('WS B-1 - Actual Stmt. AF'!Q76:S76)</f>
        <v>0</v>
      </c>
      <c r="F34" s="965"/>
      <c r="G34" s="963">
        <f>SUM('WS B-1 - Actual Stmt. AF'!M76:O76)</f>
        <v>0</v>
      </c>
      <c r="H34" s="969"/>
      <c r="I34" s="970">
        <f>IF(G34="",0,(E34+G34)/2)</f>
        <v>0</v>
      </c>
    </row>
    <row r="35" spans="1:9" ht="16.5">
      <c r="A35" s="51">
        <f>+A34+1</f>
        <v>14</v>
      </c>
      <c r="C35" s="973" t="s">
        <v>316</v>
      </c>
      <c r="D35" s="1232" t="str">
        <f>"WS B-1 - Actual Stmt. AF Ln. " &amp;'WS B-1 - Actual Stmt. AF'!A75&amp;" (Note 1)"</f>
        <v>WS B-1 - Actual Stmt. AF Ln. 12 (Note 1)</v>
      </c>
      <c r="E35" s="967">
        <f>('WS B-1 - Actual Stmt. AF'!Q75+'WS B-1 - Actual Stmt. AF'!S75)-('WS B-1 - Actual Stmt. AF'!Q76+'WS B-1 - Actual Stmt. AF'!S76)-'WS B-1 - Actual Stmt. AF'!D59</f>
        <v>0</v>
      </c>
      <c r="F35" s="965"/>
      <c r="G35" s="967">
        <f>('WS B-1 - Actual Stmt. AF'!M75+'WS B-1 - Actual Stmt. AF'!O75)-('WS B-1 - Actual Stmt. AF'!M76+'WS B-1 - Actual Stmt. AF'!O76)-'WS B-1 - Actual Stmt. AF'!C59</f>
        <v>0</v>
      </c>
      <c r="H35" s="965"/>
      <c r="I35" s="971">
        <f>IF(G35="",0,(E35+G35)/2)</f>
        <v>0</v>
      </c>
    </row>
    <row r="36" spans="1:9" ht="14.25">
      <c r="A36" s="51">
        <f>+A35+1</f>
        <v>15</v>
      </c>
      <c r="C36" s="973" t="s">
        <v>312</v>
      </c>
      <c r="D36" s="978" t="str">
        <f>"Ln "&amp;A33&amp;" - ln "&amp;A34&amp;" - ln "&amp;A35&amp;""</f>
        <v>Ln 12 - ln 13 - ln 14</v>
      </c>
      <c r="E36" s="972">
        <f>+E33-E34-E35</f>
        <v>46145470.460000001</v>
      </c>
      <c r="F36" s="968"/>
      <c r="G36" s="972">
        <f>+G33-G34-G35</f>
        <v>34432422.170000002</v>
      </c>
      <c r="H36" s="965"/>
      <c r="I36" s="970">
        <f>+I33-I34-I35</f>
        <v>40288946.314999998</v>
      </c>
    </row>
    <row r="37" spans="1:9" ht="15.75">
      <c r="A37" s="51"/>
      <c r="C37" s="40"/>
      <c r="D37" s="973"/>
      <c r="E37" s="965"/>
      <c r="F37" s="965"/>
      <c r="G37" s="965"/>
      <c r="H37" s="965"/>
      <c r="I37" s="965"/>
    </row>
    <row r="38" spans="1:9" ht="14.25">
      <c r="A38" s="51"/>
      <c r="C38" s="42"/>
      <c r="D38" s="973"/>
      <c r="E38" s="965"/>
      <c r="F38" s="965"/>
      <c r="G38" s="965"/>
      <c r="H38" s="965"/>
      <c r="I38" s="965"/>
    </row>
    <row r="39" spans="1:9" ht="15.75">
      <c r="A39" s="51">
        <f>+A36+1</f>
        <v>16</v>
      </c>
      <c r="C39" s="40" t="s">
        <v>308</v>
      </c>
      <c r="D39" s="973"/>
      <c r="E39" s="965"/>
      <c r="F39" s="965"/>
      <c r="G39" s="965"/>
      <c r="H39" s="965"/>
      <c r="I39" s="965"/>
    </row>
    <row r="40" spans="1:9" ht="14.25">
      <c r="A40" s="51"/>
      <c r="C40" s="42"/>
      <c r="D40" s="973"/>
      <c r="E40" s="965"/>
      <c r="F40" s="965"/>
      <c r="G40" s="965"/>
      <c r="H40" s="965"/>
      <c r="I40" s="965"/>
    </row>
    <row r="41" spans="1:9" ht="14.25">
      <c r="A41" s="51">
        <f>+A39+1</f>
        <v>17</v>
      </c>
      <c r="C41" s="973" t="s">
        <v>311</v>
      </c>
      <c r="D41" s="977" t="s">
        <v>310</v>
      </c>
      <c r="E41" s="963">
        <f>SUM('WS B-2 - Actual Stmt. AG'!Q35:S35)-'WS B-2 - Actual Stmt. AG'!D26</f>
        <v>14417516.010000005</v>
      </c>
      <c r="F41" s="968"/>
      <c r="G41" s="963">
        <f>SUM('WS B-2 - Actual Stmt. AG'!M35:O35)-'WS B-2 - Actual Stmt. AG'!C26</f>
        <v>11288108.230000004</v>
      </c>
      <c r="H41" s="969"/>
      <c r="I41" s="970">
        <f>IF(G41="",0,(E41+G41)/2)</f>
        <v>12852812.120000005</v>
      </c>
    </row>
    <row r="42" spans="1:9" ht="14.25">
      <c r="A42" s="51">
        <f>+A41+1</f>
        <v>18</v>
      </c>
      <c r="C42" s="973" t="s">
        <v>315</v>
      </c>
      <c r="D42" s="1232" t="str">
        <f>"WS B-2 - Actual Stmt. AG Ln. " &amp;'WS B-2 - Actual Stmt. AG'!A36&amp;" (Note 1)"</f>
        <v>WS B-2 - Actual Stmt. AG Ln. 4 (Note 1)</v>
      </c>
      <c r="E42" s="963">
        <f>SUM('WS B-2 - Actual Stmt. AG'!Q36:S36)</f>
        <v>0</v>
      </c>
      <c r="F42" s="965"/>
      <c r="G42" s="963">
        <f>SUM('WS B-2 - Actual Stmt. AG'!M36:O36)</f>
        <v>0</v>
      </c>
      <c r="H42" s="969"/>
      <c r="I42" s="970">
        <f>IF(G42="",0,(E42+G42)/2)</f>
        <v>0</v>
      </c>
    </row>
    <row r="43" spans="1:9" ht="16.5">
      <c r="A43" s="51">
        <f>+A42+1</f>
        <v>19</v>
      </c>
      <c r="C43" s="973" t="s">
        <v>316</v>
      </c>
      <c r="D43" s="1232" t="str">
        <f>"WS B-2 - Actual Stmt. AG Ln. " &amp;'WS B-2 - Actual Stmt. AG'!A35&amp;" (Note 1)"</f>
        <v>WS B-2 - Actual Stmt. AG Ln. 3 (Note 1)</v>
      </c>
      <c r="E43" s="967">
        <f>('WS B-2 - Actual Stmt. AG'!Q35+'WS B-2 - Actual Stmt. AG'!S35)-('WS B-2 - Actual Stmt. AG'!Q36+'WS B-2 - Actual Stmt. AG'!S36)-'WS B-2 - Actual Stmt. AG'!D26</f>
        <v>-58979040.61691381</v>
      </c>
      <c r="F43" s="965"/>
      <c r="G43" s="967">
        <f>('WS B-2 - Actual Stmt. AG'!M35+'WS B-2 - Actual Stmt. AG'!O35)-('WS B-2 - Actual Stmt. AG'!M36+'WS B-2 - Actual Stmt. AG'!O36)-'WS B-2 - Actual Stmt. AG'!C26</f>
        <v>-85354968.372713804</v>
      </c>
      <c r="H43" s="965"/>
      <c r="I43" s="971">
        <f>IF(G43="",0,(E43+G43)/2)</f>
        <v>-72167004.4948138</v>
      </c>
    </row>
    <row r="44" spans="1:9" ht="14.25">
      <c r="A44" s="51">
        <f>+A43+1</f>
        <v>20</v>
      </c>
      <c r="C44" s="973" t="s">
        <v>312</v>
      </c>
      <c r="D44" s="978" t="str">
        <f>"Ln "&amp;A41&amp;" - ln "&amp;A42&amp;" - ln "&amp;A43&amp;""</f>
        <v>Ln 17 - ln 18 - ln 19</v>
      </c>
      <c r="E44" s="972">
        <f>+E41-E42-E43</f>
        <v>73396556.626913816</v>
      </c>
      <c r="F44" s="968"/>
      <c r="G44" s="972">
        <f>+G41-G42-G43</f>
        <v>96643076.602713808</v>
      </c>
      <c r="H44" s="965"/>
      <c r="I44" s="970">
        <f>+I41-I42-I43</f>
        <v>85019816.614813805</v>
      </c>
    </row>
    <row r="45" spans="1:9" ht="14.25">
      <c r="A45" s="51"/>
      <c r="C45" s="42"/>
      <c r="D45" s="42"/>
      <c r="E45" s="965"/>
      <c r="F45" s="965"/>
      <c r="G45" s="965"/>
      <c r="H45" s="965"/>
      <c r="I45" s="965"/>
    </row>
    <row r="46" spans="1:9" ht="14.25">
      <c r="A46" s="51"/>
      <c r="C46" s="42"/>
      <c r="D46" s="42"/>
      <c r="E46" s="965"/>
      <c r="F46" s="965"/>
      <c r="G46" s="965"/>
      <c r="H46" s="965"/>
      <c r="I46" s="965"/>
    </row>
    <row r="47" spans="1:9" ht="15.75">
      <c r="A47" s="51">
        <f>+A44+1</f>
        <v>21</v>
      </c>
      <c r="C47" s="40" t="s">
        <v>309</v>
      </c>
      <c r="D47" s="42"/>
      <c r="E47" s="965"/>
      <c r="F47" s="965"/>
      <c r="G47" s="965"/>
      <c r="H47" s="965"/>
      <c r="I47" s="965"/>
    </row>
    <row r="48" spans="1:9" ht="14.25">
      <c r="A48" s="51"/>
      <c r="C48" s="42"/>
      <c r="D48" s="42"/>
      <c r="E48" s="965"/>
      <c r="F48" s="965"/>
      <c r="G48" s="965"/>
      <c r="H48" s="965"/>
      <c r="I48" s="965"/>
    </row>
    <row r="49" spans="1:10" ht="14.25">
      <c r="A49" s="51">
        <f>+A47+1</f>
        <v>22</v>
      </c>
      <c r="C49" s="973" t="s">
        <v>317</v>
      </c>
      <c r="D49" s="977" t="s">
        <v>271</v>
      </c>
      <c r="E49" s="963">
        <f>SUM('WS B-1 - Actual Stmt. AF'!Q89:S89)</f>
        <v>0</v>
      </c>
      <c r="F49" s="965"/>
      <c r="G49" s="963">
        <f>SUM('WS B-1 - Actual Stmt. AF'!M89:O89)</f>
        <v>0</v>
      </c>
      <c r="H49" s="969"/>
      <c r="I49" s="970">
        <f>IF(G49="",0,(E49+G49)/2)</f>
        <v>0</v>
      </c>
    </row>
    <row r="50" spans="1:10" ht="16.5">
      <c r="A50" s="51">
        <f>+A49+1</f>
        <v>23</v>
      </c>
      <c r="C50" s="973" t="s">
        <v>318</v>
      </c>
      <c r="D50" s="964" t="s">
        <v>336</v>
      </c>
      <c r="E50" s="967">
        <v>0</v>
      </c>
      <c r="F50" s="965"/>
      <c r="G50" s="967">
        <v>0</v>
      </c>
      <c r="H50" s="969"/>
      <c r="I50" s="971">
        <f>IF(G50="",0,(E50+G50)/2)</f>
        <v>0</v>
      </c>
    </row>
    <row r="51" spans="1:10" ht="14.25">
      <c r="A51" s="51">
        <f>+A50+1</f>
        <v>24</v>
      </c>
      <c r="C51" s="973" t="s">
        <v>262</v>
      </c>
      <c r="D51" s="978" t="str">
        <f>"Ln "&amp;A49&amp;" - ln "&amp;A50&amp;""</f>
        <v>Ln 22 - ln 23</v>
      </c>
      <c r="E51" s="972">
        <f>+E49-E50</f>
        <v>0</v>
      </c>
      <c r="F51" s="965"/>
      <c r="G51" s="972">
        <f>+G49-G50</f>
        <v>0</v>
      </c>
      <c r="H51" s="969"/>
      <c r="I51" s="970">
        <f>+I49-I50</f>
        <v>0</v>
      </c>
    </row>
    <row r="52" spans="1:10" ht="14.25">
      <c r="A52" s="51">
        <f>+A51+1</f>
        <v>25</v>
      </c>
      <c r="C52" s="973" t="s">
        <v>312</v>
      </c>
      <c r="D52" s="978" t="str">
        <f>"WS B-1 - Actual Stmt. AF Ln. " &amp;'WS B-1 - Actual Stmt. AF'!A89&amp;" (Note 1)"</f>
        <v>WS B-1 - Actual Stmt. AF Ln. 20 (Note 1)</v>
      </c>
      <c r="E52" s="963">
        <f>'WS B-1 - Actual Stmt. AF'!R89</f>
        <v>0</v>
      </c>
      <c r="F52" s="965"/>
      <c r="G52" s="963">
        <f>'WS B-1 - Actual Stmt. AF'!N89</f>
        <v>0</v>
      </c>
      <c r="H52" s="969"/>
      <c r="I52" s="970">
        <f>IF(G52="",0,(E52+G52)/2)</f>
        <v>0</v>
      </c>
    </row>
    <row r="53" spans="1:10">
      <c r="A53" s="51"/>
      <c r="C53" s="42"/>
      <c r="D53" s="42"/>
    </row>
    <row r="54" spans="1:10" ht="14.25">
      <c r="A54" s="974" t="s">
        <v>335</v>
      </c>
      <c r="B54" s="975" t="s">
        <v>416</v>
      </c>
      <c r="C54" s="975" t="s">
        <v>766</v>
      </c>
      <c r="D54" s="42"/>
    </row>
    <row r="55" spans="1:10" ht="27.6" customHeight="1">
      <c r="A55" s="964"/>
      <c r="B55" s="976"/>
      <c r="C55" s="1505" t="s">
        <v>767</v>
      </c>
      <c r="D55" s="1505"/>
      <c r="E55" s="1505"/>
      <c r="F55" s="1505"/>
      <c r="G55" s="1505"/>
    </row>
    <row r="56" spans="1:10" ht="14.25">
      <c r="A56" s="964" t="s">
        <v>268</v>
      </c>
      <c r="B56" s="976" t="s">
        <v>269</v>
      </c>
      <c r="C56" s="973"/>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9"/>
  <sheetViews>
    <sheetView view="pageBreakPreview" topLeftCell="A25" zoomScale="85" zoomScaleNormal="50" zoomScaleSheetLayoutView="85" workbookViewId="0">
      <selection activeCell="R60" sqref="R60"/>
    </sheetView>
  </sheetViews>
  <sheetFormatPr defaultRowHeight="12.75"/>
  <cols>
    <col min="1" max="1" width="6.85546875" style="1007" customWidth="1"/>
    <col min="2" max="2" width="57.7109375" style="1006" bestFit="1" customWidth="1"/>
    <col min="3" max="4" width="14.85546875" style="1006" customWidth="1"/>
    <col min="5" max="6" width="14.28515625" style="1006" customWidth="1"/>
    <col min="7" max="7" width="15.28515625" style="1006" bestFit="1" customWidth="1"/>
    <col min="8" max="8" width="9.140625" style="1006"/>
    <col min="9" max="9" width="13.140625" style="1006" bestFit="1" customWidth="1"/>
    <col min="10" max="10" width="15" style="1006" bestFit="1" customWidth="1"/>
    <col min="11" max="11" width="13.5703125" style="1006" bestFit="1" customWidth="1"/>
    <col min="12" max="12" width="9.140625" style="1006"/>
    <col min="13" max="13" width="13.140625" style="1006" bestFit="1" customWidth="1"/>
    <col min="14" max="14" width="15" style="1006" bestFit="1" customWidth="1"/>
    <col min="15" max="15" width="13.5703125" style="1006" bestFit="1" customWidth="1"/>
    <col min="16" max="16" width="9.140625" style="1006"/>
    <col min="17" max="17" width="13.140625" style="1006" bestFit="1" customWidth="1"/>
    <col min="18" max="18" width="15" style="1006" bestFit="1" customWidth="1"/>
    <col min="19" max="19" width="13.5703125" style="1006" bestFit="1" customWidth="1"/>
    <col min="20" max="16384" width="9.140625" style="1006"/>
  </cols>
  <sheetData>
    <row r="1" spans="1:19">
      <c r="A1" s="1032"/>
      <c r="B1" s="1054" t="str">
        <f>TCOS!F9</f>
        <v>AEP Indiana Michigan Transmission Company</v>
      </c>
      <c r="C1" s="1017"/>
      <c r="D1" s="1017"/>
      <c r="E1" s="1017"/>
      <c r="F1" s="1017"/>
      <c r="G1" s="1014"/>
      <c r="H1" s="1014"/>
      <c r="I1" s="1014"/>
      <c r="J1" s="1014"/>
      <c r="K1" s="1014"/>
      <c r="L1" s="1014"/>
      <c r="M1" s="1017"/>
      <c r="N1" s="1017"/>
      <c r="O1" s="1017"/>
      <c r="P1" s="1017"/>
      <c r="Q1" s="1017"/>
      <c r="R1" s="1017"/>
      <c r="S1" s="1014"/>
    </row>
    <row r="2" spans="1:19">
      <c r="A2" s="1032"/>
      <c r="B2" s="1016" t="s">
        <v>643</v>
      </c>
      <c r="C2" s="1017"/>
      <c r="D2" s="1017"/>
      <c r="E2" s="1017"/>
      <c r="F2" s="1017"/>
      <c r="G2" s="1014"/>
      <c r="H2" s="1014"/>
      <c r="I2" s="1014"/>
      <c r="J2" s="1014"/>
      <c r="K2" s="1014"/>
      <c r="L2" s="1014"/>
      <c r="M2" s="1017"/>
      <c r="N2" s="1017"/>
      <c r="O2" s="1017"/>
      <c r="P2" s="1017"/>
      <c r="Q2" s="1017"/>
      <c r="R2" s="1017"/>
      <c r="S2" s="1014"/>
    </row>
    <row r="3" spans="1:19">
      <c r="A3" s="1032"/>
      <c r="B3" s="1016" t="str">
        <f>"PERIOD ENDED DECEMBER 31, "&amp;TCOS!L4</f>
        <v>PERIOD ENDED DECEMBER 31, 2022</v>
      </c>
      <c r="C3" s="1017"/>
      <c r="D3" s="1017"/>
      <c r="E3" s="1017"/>
      <c r="F3" s="1017"/>
      <c r="G3" s="1017"/>
      <c r="H3" s="1017"/>
      <c r="I3" s="1017"/>
      <c r="J3" s="1017"/>
      <c r="K3" s="1017"/>
      <c r="L3" s="1017"/>
      <c r="M3" s="1017"/>
      <c r="N3" s="1017"/>
      <c r="O3" s="1017"/>
      <c r="P3" s="1017"/>
      <c r="Q3" s="1017"/>
      <c r="R3" s="1017"/>
      <c r="S3" s="1017"/>
    </row>
    <row r="4" spans="1:19">
      <c r="A4" s="1032"/>
      <c r="B4" s="1017"/>
      <c r="C4" s="1017"/>
      <c r="D4" s="1017"/>
      <c r="E4" s="1017"/>
      <c r="F4" s="1017"/>
      <c r="G4" s="1015" t="s">
        <v>644</v>
      </c>
      <c r="H4" s="1015"/>
      <c r="I4" s="1015"/>
      <c r="J4" s="1015"/>
      <c r="K4" s="1015"/>
      <c r="L4" s="1015"/>
      <c r="M4" s="1017"/>
      <c r="N4" s="1017"/>
      <c r="O4" s="1017"/>
      <c r="P4" s="1017"/>
      <c r="Q4" s="1017"/>
      <c r="R4" s="1017"/>
      <c r="S4" s="1017"/>
    </row>
    <row r="5" spans="1:19">
      <c r="A5" s="1032"/>
      <c r="B5" s="1018"/>
      <c r="C5" s="1017"/>
      <c r="D5" s="1017"/>
      <c r="E5" s="1017"/>
      <c r="F5" s="1017"/>
      <c r="G5" s="1017"/>
      <c r="H5" s="1017"/>
      <c r="I5" s="1017"/>
      <c r="J5" s="1017"/>
      <c r="K5" s="1017"/>
      <c r="L5" s="1017"/>
      <c r="M5" s="1017"/>
      <c r="N5" s="1017"/>
      <c r="O5" s="1017"/>
      <c r="P5" s="1017"/>
      <c r="Q5" s="1017"/>
      <c r="R5" s="1017"/>
      <c r="S5" s="1017"/>
    </row>
    <row r="6" spans="1:19">
      <c r="A6" s="1032"/>
      <c r="B6" s="1017"/>
      <c r="C6" s="1017"/>
      <c r="D6" s="1017"/>
      <c r="E6" s="1017"/>
      <c r="F6" s="1017"/>
      <c r="G6" s="1017"/>
      <c r="H6" s="1017"/>
      <c r="I6" s="1017"/>
      <c r="J6" s="1017"/>
      <c r="K6" s="1017"/>
      <c r="L6" s="1017"/>
      <c r="M6" s="1017"/>
      <c r="N6" s="1017"/>
      <c r="O6" s="1017"/>
      <c r="P6" s="1017"/>
      <c r="Q6" s="1017"/>
      <c r="R6" s="1017"/>
      <c r="S6" s="1017"/>
    </row>
    <row r="7" spans="1:19">
      <c r="A7" s="1032"/>
      <c r="B7" s="1017"/>
      <c r="C7" s="1017"/>
      <c r="D7" s="1017"/>
      <c r="E7" s="1017"/>
      <c r="F7" s="1017"/>
      <c r="G7" s="1017"/>
      <c r="H7" s="1017"/>
      <c r="I7" s="1017"/>
      <c r="J7" s="1017"/>
      <c r="K7" s="1017"/>
      <c r="L7" s="1017"/>
      <c r="M7" s="1017"/>
      <c r="N7" s="1017"/>
      <c r="O7" s="1017"/>
      <c r="P7" s="1017"/>
      <c r="Q7" s="1017"/>
      <c r="R7" s="1017"/>
      <c r="S7" s="1017"/>
    </row>
    <row r="8" spans="1:19">
      <c r="A8" s="1032"/>
      <c r="B8" s="1019" t="s">
        <v>645</v>
      </c>
      <c r="C8" s="1019" t="s">
        <v>646</v>
      </c>
      <c r="D8" s="1019" t="s">
        <v>647</v>
      </c>
      <c r="E8" s="1019" t="s">
        <v>648</v>
      </c>
      <c r="F8" s="1019" t="s">
        <v>649</v>
      </c>
      <c r="G8" s="1019" t="s">
        <v>650</v>
      </c>
      <c r="H8" s="1019"/>
      <c r="I8" s="1019" t="s">
        <v>651</v>
      </c>
      <c r="J8" s="1019" t="s">
        <v>652</v>
      </c>
      <c r="K8" s="1019" t="s">
        <v>653</v>
      </c>
      <c r="L8" s="1019"/>
      <c r="M8" s="1019" t="s">
        <v>654</v>
      </c>
      <c r="N8" s="1019" t="s">
        <v>655</v>
      </c>
      <c r="O8" s="1019" t="s">
        <v>656</v>
      </c>
      <c r="P8" s="1017"/>
      <c r="Q8" s="1019" t="s">
        <v>657</v>
      </c>
      <c r="R8" s="1019" t="s">
        <v>658</v>
      </c>
      <c r="S8" s="1019" t="s">
        <v>659</v>
      </c>
    </row>
    <row r="9" spans="1:19">
      <c r="A9" s="1032"/>
      <c r="B9" s="1017"/>
      <c r="C9" s="1017"/>
      <c r="D9" s="1017"/>
      <c r="E9" s="1017"/>
      <c r="F9" s="1017"/>
      <c r="G9" s="1017"/>
      <c r="H9" s="1017"/>
      <c r="I9" s="1017"/>
      <c r="J9" s="1017"/>
      <c r="K9" s="1017"/>
      <c r="L9" s="1017"/>
      <c r="M9" s="1017"/>
      <c r="N9" s="1017"/>
      <c r="O9" s="1017"/>
      <c r="P9" s="1017"/>
      <c r="Q9" s="1017"/>
      <c r="R9" s="1017"/>
      <c r="S9" s="1017"/>
    </row>
    <row r="10" spans="1:19">
      <c r="A10" s="1032"/>
      <c r="B10" s="1017"/>
      <c r="C10" s="1020" t="s">
        <v>660</v>
      </c>
      <c r="D10" s="1020"/>
      <c r="E10" s="1021" t="s">
        <v>661</v>
      </c>
      <c r="F10" s="1020"/>
      <c r="G10" s="1008" t="s">
        <v>662</v>
      </c>
      <c r="H10" s="1008"/>
      <c r="I10" s="1022" t="s">
        <v>663</v>
      </c>
      <c r="J10" s="1020"/>
      <c r="K10" s="1020"/>
      <c r="L10" s="1008"/>
      <c r="M10" s="1022" t="str">
        <f>"FUNCTIONALIZATION 12/31/"&amp;TCOS!L4-1</f>
        <v>FUNCTIONALIZATION 12/31/2021</v>
      </c>
      <c r="N10" s="1020"/>
      <c r="O10" s="1020"/>
      <c r="P10" s="1017"/>
      <c r="Q10" s="1022" t="str">
        <f>"FUNCTIONALIZATION 12/31/"&amp;TCOS!L4</f>
        <v>FUNCTIONALIZATION 12/31/2022</v>
      </c>
      <c r="R10" s="1020"/>
      <c r="S10" s="1020"/>
    </row>
    <row r="11" spans="1:19">
      <c r="A11" s="1032"/>
      <c r="B11" s="1017"/>
      <c r="C11" s="1023"/>
      <c r="D11" s="1023"/>
      <c r="E11" s="1017"/>
      <c r="F11" s="1017"/>
      <c r="G11" s="1008" t="s">
        <v>664</v>
      </c>
      <c r="H11" s="1008"/>
      <c r="I11" s="1023"/>
      <c r="J11" s="1023"/>
      <c r="K11" s="1023"/>
      <c r="L11" s="1008"/>
      <c r="M11" s="1023"/>
      <c r="N11" s="1023"/>
      <c r="O11" s="1023"/>
      <c r="P11" s="1017"/>
      <c r="Q11" s="1023"/>
      <c r="R11" s="1023"/>
      <c r="S11" s="1023"/>
    </row>
    <row r="12" spans="1:19" s="1049" customFormat="1">
      <c r="A12" s="1050"/>
      <c r="B12" s="1048"/>
      <c r="C12" s="1051" t="s">
        <v>665</v>
      </c>
      <c r="D12" s="1051" t="s">
        <v>665</v>
      </c>
      <c r="E12" s="1051" t="s">
        <v>665</v>
      </c>
      <c r="F12" s="1051" t="s">
        <v>665</v>
      </c>
      <c r="G12" s="1051" t="s">
        <v>666</v>
      </c>
      <c r="H12" s="1051"/>
      <c r="I12" s="1048"/>
      <c r="J12" s="1048"/>
      <c r="K12" s="1048"/>
      <c r="L12" s="1051"/>
      <c r="M12" s="1048"/>
      <c r="N12" s="1048"/>
      <c r="O12" s="1048"/>
      <c r="P12" s="1048"/>
      <c r="Q12" s="1048"/>
      <c r="R12" s="1048"/>
      <c r="S12" s="1048"/>
    </row>
    <row r="13" spans="1:19" s="1049" customFormat="1">
      <c r="A13" s="1050"/>
      <c r="B13" s="1052" t="s">
        <v>667</v>
      </c>
      <c r="C13" s="1052" t="str">
        <f>"OF 12-31-"&amp;TCOS!L4-1</f>
        <v>OF 12-31-2021</v>
      </c>
      <c r="D13" s="1052" t="str">
        <f>"OF 12-31-"&amp;TCOS!L4</f>
        <v>OF 12-31-2022</v>
      </c>
      <c r="E13" s="1052" t="str">
        <f>"OF 12-31-"&amp;TCOS!L4-1</f>
        <v>OF 12-31-2021</v>
      </c>
      <c r="F13" s="1052" t="str">
        <f>"OF 12-31-"&amp;TCOS!L4</f>
        <v>OF 12-31-2022</v>
      </c>
      <c r="G13" s="1052" t="s">
        <v>668</v>
      </c>
      <c r="H13" s="1052"/>
      <c r="I13" s="1052" t="s">
        <v>669</v>
      </c>
      <c r="J13" s="1052" t="s">
        <v>670</v>
      </c>
      <c r="K13" s="1052" t="s">
        <v>671</v>
      </c>
      <c r="L13" s="1052"/>
      <c r="M13" s="1052" t="s">
        <v>669</v>
      </c>
      <c r="N13" s="1052" t="s">
        <v>670</v>
      </c>
      <c r="O13" s="1052" t="s">
        <v>671</v>
      </c>
      <c r="P13" s="1048"/>
      <c r="Q13" s="1052" t="s">
        <v>669</v>
      </c>
      <c r="R13" s="1052" t="s">
        <v>670</v>
      </c>
      <c r="S13" s="1052" t="s">
        <v>671</v>
      </c>
    </row>
    <row r="14" spans="1:19">
      <c r="A14" s="1032"/>
      <c r="B14" s="1017"/>
      <c r="C14" s="1017"/>
      <c r="D14" s="1017"/>
      <c r="E14" s="1017"/>
      <c r="F14" s="1017"/>
      <c r="G14" s="1017"/>
      <c r="H14" s="1017"/>
      <c r="I14" s="1017"/>
      <c r="J14" s="1017"/>
      <c r="K14" s="1017"/>
      <c r="L14" s="1017"/>
      <c r="M14" s="1017"/>
      <c r="N14" s="1017"/>
      <c r="O14" s="1017"/>
      <c r="P14" s="1017"/>
      <c r="Q14" s="1017"/>
      <c r="R14" s="1017"/>
      <c r="S14" s="1017"/>
    </row>
    <row r="15" spans="1:19">
      <c r="A15" s="1047">
        <v>1</v>
      </c>
      <c r="B15" s="1013" t="s">
        <v>672</v>
      </c>
      <c r="C15" s="1025"/>
      <c r="D15" s="1025"/>
      <c r="E15" s="1025"/>
      <c r="F15" s="1026"/>
      <c r="G15" s="1025"/>
      <c r="H15" s="1025"/>
      <c r="I15" s="1025"/>
      <c r="J15" s="1025"/>
      <c r="K15" s="1025"/>
      <c r="L15" s="1025"/>
      <c r="M15" s="1025"/>
      <c r="N15" s="1025"/>
      <c r="O15" s="1025"/>
      <c r="P15" s="1025"/>
      <c r="Q15" s="1025"/>
      <c r="R15" s="1025"/>
      <c r="S15" s="1025"/>
    </row>
    <row r="16" spans="1:19">
      <c r="A16" s="1047">
        <v>2.0099999999999998</v>
      </c>
      <c r="B16" s="1013"/>
      <c r="C16" s="1025"/>
      <c r="D16" s="1025"/>
      <c r="E16" s="1025"/>
      <c r="F16" s="1025"/>
      <c r="G16" s="1025"/>
      <c r="H16" s="1025"/>
      <c r="I16" s="1025"/>
      <c r="J16" s="1025"/>
      <c r="K16" s="1025"/>
      <c r="L16" s="1025"/>
      <c r="M16" s="1025"/>
      <c r="N16" s="1025"/>
      <c r="O16" s="1025"/>
      <c r="P16" s="1025"/>
      <c r="Q16" s="1025"/>
      <c r="R16" s="1025"/>
      <c r="S16" s="1025"/>
    </row>
    <row r="17" spans="1:19">
      <c r="A17" s="1047">
        <v>2.02</v>
      </c>
      <c r="B17" s="1013"/>
      <c r="C17" s="1025">
        <f>SUM(M17:O17)</f>
        <v>0</v>
      </c>
      <c r="D17" s="1025">
        <f>SUM(Q17:S17)</f>
        <v>0</v>
      </c>
      <c r="E17" s="1025"/>
      <c r="F17" s="1025"/>
      <c r="G17" s="1025">
        <f>ROUND(SUM(C17:F17)/2,0)</f>
        <v>0</v>
      </c>
      <c r="H17" s="1025"/>
      <c r="I17" s="1025">
        <f>(M17+Q17)/2</f>
        <v>0</v>
      </c>
      <c r="J17" s="1025">
        <f>(N17+R17)/2</f>
        <v>0</v>
      </c>
      <c r="K17" s="1025">
        <f>(O17+S17)/2</f>
        <v>0</v>
      </c>
      <c r="L17" s="1025"/>
      <c r="M17" s="1013"/>
      <c r="N17" s="1013"/>
      <c r="O17" s="1013"/>
      <c r="P17" s="1025"/>
      <c r="Q17" s="1013"/>
      <c r="R17" s="1013"/>
      <c r="S17" s="1013"/>
    </row>
    <row r="18" spans="1:19">
      <c r="A18" s="1047">
        <v>2.0299999999999998</v>
      </c>
      <c r="B18" s="1013"/>
      <c r="C18" s="1025"/>
      <c r="D18" s="1025"/>
      <c r="E18" s="1025"/>
      <c r="F18" s="1025"/>
      <c r="G18" s="1025"/>
      <c r="H18" s="1025"/>
      <c r="I18" s="1025"/>
      <c r="J18" s="1025"/>
      <c r="K18" s="1025"/>
      <c r="L18" s="1025"/>
      <c r="M18" s="1025"/>
      <c r="N18" s="1025"/>
      <c r="O18" s="1025"/>
      <c r="P18" s="1025"/>
      <c r="Q18" s="1025"/>
      <c r="R18" s="1025"/>
      <c r="S18" s="1025"/>
    </row>
    <row r="19" spans="1:19">
      <c r="A19" s="1047">
        <v>2.04</v>
      </c>
      <c r="B19" s="1013"/>
      <c r="C19" s="1025">
        <v>0</v>
      </c>
      <c r="D19" s="1025">
        <v>0</v>
      </c>
      <c r="E19" s="1025">
        <f t="shared" ref="E19:F21" si="0">-C19</f>
        <v>0</v>
      </c>
      <c r="F19" s="1025">
        <f t="shared" si="0"/>
        <v>0</v>
      </c>
      <c r="G19" s="1025">
        <f>ROUND(SUM(C19:F19)/2,0)</f>
        <v>0</v>
      </c>
      <c r="H19" s="1025"/>
      <c r="I19" s="1025"/>
      <c r="J19" s="1025"/>
      <c r="K19" s="1025"/>
      <c r="L19" s="1025"/>
      <c r="M19" s="1025"/>
      <c r="N19" s="1025"/>
      <c r="O19" s="1025"/>
      <c r="P19" s="1025"/>
      <c r="Q19" s="1025"/>
      <c r="R19" s="1025"/>
      <c r="S19" s="1025"/>
    </row>
    <row r="20" spans="1:19">
      <c r="A20" s="1047">
        <v>2.0499999999999998</v>
      </c>
      <c r="B20" s="1013"/>
      <c r="C20" s="1025">
        <v>0</v>
      </c>
      <c r="D20" s="1025">
        <v>0</v>
      </c>
      <c r="E20" s="1025">
        <f t="shared" si="0"/>
        <v>0</v>
      </c>
      <c r="F20" s="1025">
        <f t="shared" si="0"/>
        <v>0</v>
      </c>
      <c r="G20" s="1025">
        <f>ROUND(SUM(C20:F20)/2,0)</f>
        <v>0</v>
      </c>
      <c r="H20" s="1025"/>
      <c r="I20" s="1025"/>
      <c r="J20" s="1025"/>
      <c r="K20" s="1025"/>
      <c r="L20" s="1025"/>
      <c r="M20" s="1025"/>
      <c r="N20" s="1025"/>
      <c r="O20" s="1025"/>
      <c r="P20" s="1025"/>
      <c r="Q20" s="1025"/>
      <c r="R20" s="1025"/>
      <c r="S20" s="1025"/>
    </row>
    <row r="21" spans="1:19">
      <c r="A21" s="1047">
        <v>2.06</v>
      </c>
      <c r="B21" s="1013"/>
      <c r="C21" s="1025">
        <v>0</v>
      </c>
      <c r="D21" s="1025">
        <v>0</v>
      </c>
      <c r="E21" s="1025">
        <f t="shared" si="0"/>
        <v>0</v>
      </c>
      <c r="F21" s="1025">
        <f t="shared" si="0"/>
        <v>0</v>
      </c>
      <c r="G21" s="1025">
        <f>ROUND(SUM(C21:F21)/2,0)</f>
        <v>0</v>
      </c>
      <c r="H21" s="1025"/>
      <c r="I21" s="1025"/>
      <c r="J21" s="1025"/>
      <c r="K21" s="1025"/>
      <c r="L21" s="1025"/>
      <c r="M21" s="1025"/>
      <c r="N21" s="1025"/>
      <c r="O21" s="1025"/>
      <c r="P21" s="1025"/>
      <c r="Q21" s="1025"/>
      <c r="R21" s="1025"/>
      <c r="S21" s="1025"/>
    </row>
    <row r="22" spans="1:19">
      <c r="A22" s="1033"/>
      <c r="B22" s="1017"/>
      <c r="C22" s="1025"/>
      <c r="D22" s="1025"/>
      <c r="E22" s="1025"/>
      <c r="F22" s="1025"/>
      <c r="G22" s="1025"/>
      <c r="H22" s="1025"/>
      <c r="I22" s="1025"/>
      <c r="J22" s="1025"/>
      <c r="K22" s="1025"/>
      <c r="L22" s="1025"/>
      <c r="M22" s="1025"/>
      <c r="N22" s="1025"/>
      <c r="O22" s="1025"/>
      <c r="P22" s="1025"/>
      <c r="Q22" s="1025"/>
      <c r="R22" s="1025"/>
      <c r="S22" s="1025"/>
    </row>
    <row r="23" spans="1:19" ht="13.5" thickBot="1">
      <c r="A23" s="1033">
        <v>3</v>
      </c>
      <c r="B23" s="1014" t="s">
        <v>673</v>
      </c>
      <c r="C23" s="1027">
        <f>SUM(C17:C22)</f>
        <v>0</v>
      </c>
      <c r="D23" s="1027">
        <f>SUM(D17:D22)</f>
        <v>0</v>
      </c>
      <c r="E23" s="1027">
        <f>SUM(E17:E22)</f>
        <v>0</v>
      </c>
      <c r="F23" s="1027">
        <f>SUM(F17:F22)</f>
        <v>0</v>
      </c>
      <c r="G23" s="1027">
        <f>SUM(G17:G22)</f>
        <v>0</v>
      </c>
      <c r="H23" s="1025"/>
      <c r="I23" s="1027">
        <f>SUM(I17:I22)</f>
        <v>0</v>
      </c>
      <c r="J23" s="1027">
        <f>SUM(J17:J22)</f>
        <v>0</v>
      </c>
      <c r="K23" s="1027">
        <f>SUM(K17:K22)</f>
        <v>0</v>
      </c>
      <c r="L23" s="1025"/>
      <c r="M23" s="1027">
        <f>SUM(M17:M22)</f>
        <v>0</v>
      </c>
      <c r="N23" s="1027">
        <f>SUM(N17:N22)</f>
        <v>0</v>
      </c>
      <c r="O23" s="1027">
        <f>SUM(O17:O22)</f>
        <v>0</v>
      </c>
      <c r="P23" s="1025"/>
      <c r="Q23" s="1027">
        <f>SUM(Q17:Q22)</f>
        <v>0</v>
      </c>
      <c r="R23" s="1027">
        <f>SUM(R17:R22)</f>
        <v>0</v>
      </c>
      <c r="S23" s="1027">
        <f>SUM(S17:S22)</f>
        <v>0</v>
      </c>
    </row>
    <row r="24" spans="1:19" ht="13.5" thickTop="1">
      <c r="A24" s="1033">
        <f>A23+1</f>
        <v>4</v>
      </c>
      <c r="B24" s="1017" t="s">
        <v>674</v>
      </c>
      <c r="C24" s="1044">
        <v>0</v>
      </c>
      <c r="D24" s="1044">
        <v>0</v>
      </c>
      <c r="E24" s="1044">
        <v>0</v>
      </c>
      <c r="F24" s="1044">
        <v>0</v>
      </c>
      <c r="G24" s="1044">
        <v>0</v>
      </c>
      <c r="H24" s="1045"/>
      <c r="I24" s="1044">
        <v>0</v>
      </c>
      <c r="J24" s="1044">
        <v>0</v>
      </c>
      <c r="K24" s="1044">
        <v>0</v>
      </c>
      <c r="L24" s="1045"/>
      <c r="M24" s="1044">
        <v>0</v>
      </c>
      <c r="N24" s="1044">
        <v>0</v>
      </c>
      <c r="O24" s="1044">
        <v>0</v>
      </c>
      <c r="P24" s="1045"/>
      <c r="Q24" s="1044">
        <v>0</v>
      </c>
      <c r="R24" s="1044">
        <v>0</v>
      </c>
      <c r="S24" s="1044">
        <v>0</v>
      </c>
    </row>
    <row r="25" spans="1:19">
      <c r="A25" s="1033"/>
      <c r="B25" s="1017"/>
      <c r="C25" s="1025"/>
      <c r="D25" s="1025"/>
      <c r="E25" s="1025"/>
      <c r="F25" s="1025"/>
      <c r="G25" s="1025"/>
      <c r="H25" s="1025"/>
      <c r="I25" s="1025"/>
      <c r="J25" s="1025"/>
      <c r="K25" s="1025"/>
      <c r="L25" s="1025"/>
      <c r="M25" s="1025"/>
      <c r="N25" s="1025"/>
      <c r="O25" s="1025"/>
      <c r="P25" s="1025"/>
      <c r="Q25" s="1025"/>
      <c r="R25" s="1025"/>
      <c r="S25" s="1025"/>
    </row>
    <row r="26" spans="1:19">
      <c r="A26" s="1033">
        <v>5</v>
      </c>
      <c r="B26" s="1014" t="s">
        <v>675</v>
      </c>
      <c r="C26" s="1025"/>
      <c r="D26" s="1025"/>
      <c r="E26" s="1025"/>
      <c r="F26" s="1025"/>
      <c r="G26" s="1025"/>
      <c r="H26" s="1025"/>
      <c r="I26" s="1025"/>
      <c r="J26" s="1025"/>
      <c r="K26" s="1025"/>
      <c r="L26" s="1025"/>
      <c r="M26" s="1025"/>
      <c r="N26" s="1025"/>
      <c r="O26" s="1025"/>
      <c r="P26" s="1025"/>
      <c r="Q26" s="1025"/>
      <c r="R26" s="1025"/>
      <c r="S26" s="1025"/>
    </row>
    <row r="27" spans="1:19">
      <c r="A27" s="1046"/>
      <c r="B27" s="1017"/>
      <c r="C27" s="1025"/>
      <c r="D27" s="1025"/>
      <c r="E27" s="1025"/>
      <c r="F27" s="1025"/>
      <c r="G27" s="1025"/>
      <c r="H27" s="1025"/>
      <c r="I27" s="1025"/>
      <c r="J27" s="1025"/>
      <c r="K27" s="1025"/>
      <c r="L27" s="1025"/>
      <c r="M27" s="1025"/>
      <c r="N27" s="1025"/>
      <c r="O27" s="1025"/>
      <c r="P27" s="1025"/>
      <c r="Q27" s="1025"/>
      <c r="R27" s="1025"/>
      <c r="S27" s="1025"/>
    </row>
    <row r="28" spans="1:19">
      <c r="A28" s="1047">
        <v>5.01</v>
      </c>
      <c r="B28" s="1013" t="s">
        <v>869</v>
      </c>
      <c r="C28" s="1025">
        <f t="shared" ref="C28:C34" si="1">SUM(M28:O28)</f>
        <v>235565565.19</v>
      </c>
      <c r="D28" s="1025">
        <f t="shared" ref="D28:D34" si="2">SUM(Q28:S28)</f>
        <v>254085997.41999999</v>
      </c>
      <c r="E28" s="1025"/>
      <c r="F28" s="1025"/>
      <c r="G28" s="1025">
        <f t="shared" ref="G28:G43" si="3">ROUND(SUM(C28:F28)/2,0)</f>
        <v>244825781</v>
      </c>
      <c r="H28" s="1025"/>
      <c r="I28" s="1025">
        <f t="shared" ref="I28:K43" si="4">(M28+Q28)/2</f>
        <v>0</v>
      </c>
      <c r="J28" s="1025">
        <f t="shared" si="4"/>
        <v>244825781.30500001</v>
      </c>
      <c r="K28" s="1025">
        <f t="shared" si="4"/>
        <v>0</v>
      </c>
      <c r="L28" s="1025"/>
      <c r="M28" s="1013"/>
      <c r="N28" s="1013">
        <v>235565565.19</v>
      </c>
      <c r="O28" s="1013"/>
      <c r="P28" s="1025"/>
      <c r="Q28" s="1013"/>
      <c r="R28" s="1013">
        <v>254085997.41999999</v>
      </c>
      <c r="S28" s="1013"/>
    </row>
    <row r="29" spans="1:19">
      <c r="A29" s="1047">
        <v>5.0199999999999996</v>
      </c>
      <c r="B29" s="1013" t="s">
        <v>889</v>
      </c>
      <c r="C29" s="1025">
        <f t="shared" si="1"/>
        <v>991942.37</v>
      </c>
      <c r="D29" s="1025">
        <f t="shared" si="2"/>
        <v>-82740.19</v>
      </c>
      <c r="E29" s="1025"/>
      <c r="F29" s="1025"/>
      <c r="G29" s="1025">
        <f>ROUND(SUM(C29:F29)/2,0)</f>
        <v>454601</v>
      </c>
      <c r="H29" s="1025"/>
      <c r="I29" s="1025">
        <f t="shared" ref="I29:K33" si="5">(M29+Q29)/2</f>
        <v>0</v>
      </c>
      <c r="J29" s="1025">
        <f t="shared" si="5"/>
        <v>454601.08999999997</v>
      </c>
      <c r="K29" s="1025">
        <f t="shared" si="5"/>
        <v>0</v>
      </c>
      <c r="L29" s="1025"/>
      <c r="M29" s="1013"/>
      <c r="N29" s="1013">
        <v>991942.37</v>
      </c>
      <c r="O29" s="1013"/>
      <c r="P29" s="1025"/>
      <c r="Q29" s="1013"/>
      <c r="R29" s="1013">
        <v>-82740.19</v>
      </c>
      <c r="S29" s="1013"/>
    </row>
    <row r="30" spans="1:19">
      <c r="A30" s="1047">
        <v>5.03</v>
      </c>
      <c r="B30" s="1013" t="s">
        <v>870</v>
      </c>
      <c r="C30" s="1025">
        <f t="shared" si="1"/>
        <v>39874.800000000003</v>
      </c>
      <c r="D30" s="1025">
        <f t="shared" si="2"/>
        <v>39874.800000000003</v>
      </c>
      <c r="E30" s="1025"/>
      <c r="F30" s="1025"/>
      <c r="G30" s="1025">
        <f>ROUND(SUM(C30:F30)/2,0)</f>
        <v>39875</v>
      </c>
      <c r="H30" s="1025"/>
      <c r="I30" s="1025">
        <f t="shared" si="5"/>
        <v>0</v>
      </c>
      <c r="J30" s="1025">
        <f t="shared" si="5"/>
        <v>39874.800000000003</v>
      </c>
      <c r="K30" s="1025">
        <f t="shared" si="5"/>
        <v>0</v>
      </c>
      <c r="L30" s="1025"/>
      <c r="M30" s="1013"/>
      <c r="N30" s="1013">
        <v>39874.800000000003</v>
      </c>
      <c r="O30" s="1013"/>
      <c r="P30" s="1025"/>
      <c r="Q30" s="1013"/>
      <c r="R30" s="1013">
        <v>39874.800000000003</v>
      </c>
      <c r="S30" s="1013"/>
    </row>
    <row r="31" spans="1:19">
      <c r="A31" s="1047">
        <v>5.04</v>
      </c>
      <c r="B31" s="1013" t="s">
        <v>890</v>
      </c>
      <c r="C31" s="1025">
        <f t="shared" si="1"/>
        <v>0</v>
      </c>
      <c r="D31" s="1025">
        <f t="shared" si="2"/>
        <v>0</v>
      </c>
      <c r="E31" s="1025"/>
      <c r="F31" s="1025"/>
      <c r="G31" s="1025">
        <f>ROUND(SUM(C31:F31)/2,0)</f>
        <v>0</v>
      </c>
      <c r="H31" s="1025"/>
      <c r="I31" s="1025">
        <f t="shared" si="5"/>
        <v>0</v>
      </c>
      <c r="J31" s="1025">
        <f t="shared" si="5"/>
        <v>0</v>
      </c>
      <c r="K31" s="1025">
        <f t="shared" si="5"/>
        <v>0</v>
      </c>
      <c r="L31" s="1025"/>
      <c r="M31" s="1013"/>
      <c r="N31" s="1013">
        <v>0</v>
      </c>
      <c r="O31" s="1013"/>
      <c r="P31" s="1025"/>
      <c r="Q31" s="1013"/>
      <c r="R31" s="1013">
        <v>0</v>
      </c>
      <c r="S31" s="1013"/>
    </row>
    <row r="32" spans="1:19">
      <c r="A32" s="1047">
        <v>5.05</v>
      </c>
      <c r="B32" s="1013" t="s">
        <v>871</v>
      </c>
      <c r="C32" s="1025">
        <f t="shared" si="1"/>
        <v>7630.77</v>
      </c>
      <c r="D32" s="1025">
        <f t="shared" si="2"/>
        <v>-15842.82</v>
      </c>
      <c r="E32" s="1025"/>
      <c r="F32" s="1025"/>
      <c r="G32" s="1025">
        <f>ROUND(SUM(C32:F32)/2,0)</f>
        <v>-4106</v>
      </c>
      <c r="H32" s="1025"/>
      <c r="I32" s="1025">
        <f t="shared" si="5"/>
        <v>0</v>
      </c>
      <c r="J32" s="1025">
        <f t="shared" si="5"/>
        <v>-4106.0249999999996</v>
      </c>
      <c r="K32" s="1025">
        <f t="shared" si="5"/>
        <v>0</v>
      </c>
      <c r="L32" s="1025"/>
      <c r="M32" s="1053"/>
      <c r="N32" s="1053">
        <v>7630.77</v>
      </c>
      <c r="O32" s="1013"/>
      <c r="P32" s="1025"/>
      <c r="Q32" s="1053"/>
      <c r="R32" s="1053">
        <v>-15842.82</v>
      </c>
      <c r="S32" s="1013"/>
    </row>
    <row r="33" spans="1:19">
      <c r="A33" s="1047">
        <v>5.0599999999999996</v>
      </c>
      <c r="B33" s="1013" t="s">
        <v>872</v>
      </c>
      <c r="C33" s="1025">
        <f t="shared" si="1"/>
        <v>10398781.9</v>
      </c>
      <c r="D33" s="1025">
        <f t="shared" si="2"/>
        <v>11898121.27</v>
      </c>
      <c r="E33" s="1025"/>
      <c r="F33" s="1025"/>
      <c r="G33" s="1025">
        <f>ROUND(SUM(C33:F33)/2,0)</f>
        <v>11148452</v>
      </c>
      <c r="H33" s="1025"/>
      <c r="I33" s="1025">
        <f t="shared" si="5"/>
        <v>0</v>
      </c>
      <c r="J33" s="1025">
        <f t="shared" si="5"/>
        <v>11148451.585000001</v>
      </c>
      <c r="K33" s="1025">
        <f t="shared" si="5"/>
        <v>0</v>
      </c>
      <c r="L33" s="1025"/>
      <c r="M33" s="1013"/>
      <c r="N33" s="1013">
        <v>10398781.9</v>
      </c>
      <c r="O33" s="1013"/>
      <c r="P33" s="1025"/>
      <c r="Q33" s="1013"/>
      <c r="R33" s="1013">
        <v>11898121.27</v>
      </c>
      <c r="S33" s="1013"/>
    </row>
    <row r="34" spans="1:19">
      <c r="A34" s="1047">
        <v>5.07</v>
      </c>
      <c r="B34" s="1013" t="s">
        <v>859</v>
      </c>
      <c r="C34" s="1025">
        <f t="shared" si="1"/>
        <v>-21215506.890000001</v>
      </c>
      <c r="D34" s="1025">
        <f t="shared" si="2"/>
        <v>-24638589.079999998</v>
      </c>
      <c r="E34" s="1025"/>
      <c r="F34" s="1025"/>
      <c r="G34" s="1025">
        <f t="shared" si="3"/>
        <v>-22927048</v>
      </c>
      <c r="H34" s="1025"/>
      <c r="I34" s="1025">
        <f t="shared" si="4"/>
        <v>0</v>
      </c>
      <c r="J34" s="1025">
        <f t="shared" si="4"/>
        <v>-22927047.984999999</v>
      </c>
      <c r="K34" s="1025">
        <f t="shared" si="4"/>
        <v>0</v>
      </c>
      <c r="L34" s="1025"/>
      <c r="M34" s="1013"/>
      <c r="N34" s="1013">
        <v>-21215506.890000001</v>
      </c>
      <c r="O34" s="1013"/>
      <c r="P34" s="1025"/>
      <c r="Q34" s="1013"/>
      <c r="R34" s="1013">
        <v>-24638589.079999998</v>
      </c>
      <c r="S34" s="1013"/>
    </row>
    <row r="35" spans="1:19">
      <c r="A35" s="1047">
        <v>5.08</v>
      </c>
      <c r="B35" s="1013" t="s">
        <v>873</v>
      </c>
      <c r="C35" s="1025">
        <f t="shared" ref="C35:C42" si="6">SUM(M35:O35)</f>
        <v>12630905.949999999</v>
      </c>
      <c r="D35" s="1025">
        <f t="shared" ref="D35:D42" si="7">SUM(Q35:S35)</f>
        <v>14810255.5</v>
      </c>
      <c r="E35" s="1025"/>
      <c r="F35" s="1025"/>
      <c r="G35" s="1025">
        <f t="shared" si="3"/>
        <v>13720581</v>
      </c>
      <c r="H35" s="1025"/>
      <c r="I35" s="1025">
        <f t="shared" si="4"/>
        <v>0</v>
      </c>
      <c r="J35" s="1025">
        <f t="shared" si="4"/>
        <v>13720580.725</v>
      </c>
      <c r="K35" s="1025">
        <f t="shared" si="4"/>
        <v>0</v>
      </c>
      <c r="L35" s="1025"/>
      <c r="M35" s="1013"/>
      <c r="N35" s="1013">
        <v>12630905.949999999</v>
      </c>
      <c r="O35" s="1013"/>
      <c r="P35" s="1025"/>
      <c r="Q35" s="1013"/>
      <c r="R35" s="1013">
        <v>14810255.5</v>
      </c>
      <c r="S35" s="1013"/>
    </row>
    <row r="36" spans="1:19">
      <c r="A36" s="1047">
        <v>5.09</v>
      </c>
      <c r="B36" s="1013" t="s">
        <v>874</v>
      </c>
      <c r="C36" s="1025">
        <f t="shared" si="6"/>
        <v>126770.7</v>
      </c>
      <c r="D36" s="1025">
        <f t="shared" si="7"/>
        <v>126770.7</v>
      </c>
      <c r="E36" s="1025"/>
      <c r="F36" s="1025"/>
      <c r="G36" s="1025">
        <f t="shared" si="3"/>
        <v>126771</v>
      </c>
      <c r="H36" s="1025"/>
      <c r="I36" s="1025">
        <f t="shared" si="4"/>
        <v>0</v>
      </c>
      <c r="J36" s="1025">
        <f t="shared" si="4"/>
        <v>126770.7</v>
      </c>
      <c r="K36" s="1025">
        <f t="shared" si="4"/>
        <v>0</v>
      </c>
      <c r="L36" s="1025"/>
      <c r="M36" s="1013"/>
      <c r="N36" s="1053">
        <v>126770.7</v>
      </c>
      <c r="O36" s="1013"/>
      <c r="P36" s="1025"/>
      <c r="Q36" s="1053"/>
      <c r="R36" s="1013">
        <v>126770.7</v>
      </c>
      <c r="S36" s="1013"/>
    </row>
    <row r="37" spans="1:19">
      <c r="A37" s="1047">
        <v>5.0999999999999996</v>
      </c>
      <c r="B37" s="1013" t="s">
        <v>875</v>
      </c>
      <c r="C37" s="1025">
        <f t="shared" si="6"/>
        <v>123723.6</v>
      </c>
      <c r="D37" s="1025">
        <f t="shared" si="7"/>
        <v>123723.6</v>
      </c>
      <c r="E37" s="1025"/>
      <c r="F37" s="1025"/>
      <c r="G37" s="1025">
        <f t="shared" si="3"/>
        <v>123724</v>
      </c>
      <c r="H37" s="1025"/>
      <c r="I37" s="1025">
        <f t="shared" si="4"/>
        <v>0</v>
      </c>
      <c r="J37" s="1025">
        <f t="shared" si="4"/>
        <v>123723.6</v>
      </c>
      <c r="K37" s="1025">
        <f t="shared" si="4"/>
        <v>0</v>
      </c>
      <c r="L37" s="1025"/>
      <c r="M37" s="1013"/>
      <c r="N37" s="1013">
        <v>123723.6</v>
      </c>
      <c r="O37" s="1013"/>
      <c r="P37" s="1025"/>
      <c r="Q37" s="1013"/>
      <c r="R37" s="1013">
        <v>123723.6</v>
      </c>
      <c r="S37" s="1013"/>
    </row>
    <row r="38" spans="1:19">
      <c r="A38" s="1047">
        <v>5.1100000000000003</v>
      </c>
      <c r="B38" s="1013" t="s">
        <v>876</v>
      </c>
      <c r="C38" s="1025">
        <f>SUM(M38:O38)</f>
        <v>26031.599999999999</v>
      </c>
      <c r="D38" s="1025">
        <f t="shared" si="7"/>
        <v>26031.599999999999</v>
      </c>
      <c r="E38" s="1025"/>
      <c r="F38" s="1025"/>
      <c r="G38" s="1025">
        <f>ROUND(SUM(C38:F38)/2,0)</f>
        <v>26032</v>
      </c>
      <c r="H38" s="1025"/>
      <c r="I38" s="1025">
        <f t="shared" si="4"/>
        <v>0</v>
      </c>
      <c r="J38" s="1025">
        <f t="shared" si="4"/>
        <v>26031.599999999999</v>
      </c>
      <c r="K38" s="1025">
        <f t="shared" si="4"/>
        <v>0</v>
      </c>
      <c r="L38" s="1025"/>
      <c r="M38" s="1013"/>
      <c r="N38" s="1013">
        <v>26031.599999999999</v>
      </c>
      <c r="O38" s="1013"/>
      <c r="P38" s="1025"/>
      <c r="Q38" s="1013"/>
      <c r="R38" s="1013">
        <v>26031.599999999999</v>
      </c>
      <c r="S38" s="1013"/>
    </row>
    <row r="39" spans="1:19">
      <c r="A39" s="1047">
        <v>5.12</v>
      </c>
      <c r="B39" s="1013" t="s">
        <v>877</v>
      </c>
      <c r="C39" s="1025">
        <f t="shared" si="6"/>
        <v>3126170.69</v>
      </c>
      <c r="D39" s="1025">
        <f t="shared" si="7"/>
        <v>2207223.71</v>
      </c>
      <c r="E39" s="1025"/>
      <c r="F39" s="1025"/>
      <c r="G39" s="1025">
        <f t="shared" si="3"/>
        <v>2666697</v>
      </c>
      <c r="H39" s="1025"/>
      <c r="I39" s="1025">
        <f t="shared" si="4"/>
        <v>0</v>
      </c>
      <c r="J39" s="1025">
        <f t="shared" si="4"/>
        <v>2666697.2000000002</v>
      </c>
      <c r="K39" s="1025">
        <f t="shared" si="4"/>
        <v>0</v>
      </c>
      <c r="L39" s="1025"/>
      <c r="M39" s="1013"/>
      <c r="N39" s="1013">
        <v>3126170.69</v>
      </c>
      <c r="O39" s="1013"/>
      <c r="P39" s="1025"/>
      <c r="Q39" s="1013"/>
      <c r="R39" s="1013">
        <v>2207223.71</v>
      </c>
      <c r="S39" s="1013"/>
    </row>
    <row r="40" spans="1:19">
      <c r="A40" s="1047">
        <v>5.13</v>
      </c>
      <c r="B40" s="1013" t="s">
        <v>956</v>
      </c>
      <c r="C40" s="1025">
        <f t="shared" ref="C40" si="8">SUM(M40:O40)</f>
        <v>-15938.01</v>
      </c>
      <c r="D40" s="1025">
        <f t="shared" ref="D40" si="9">SUM(Q40:S40)</f>
        <v>43763.040000000001</v>
      </c>
      <c r="E40" s="1025"/>
      <c r="F40" s="1025"/>
      <c r="G40" s="1025">
        <f t="shared" ref="G40" si="10">ROUND(SUM(C40:F40)/2,0)</f>
        <v>13913</v>
      </c>
      <c r="H40" s="1025"/>
      <c r="I40" s="1025">
        <f t="shared" ref="I40" si="11">(M40+Q40)/2</f>
        <v>0</v>
      </c>
      <c r="J40" s="1025">
        <f t="shared" ref="J40" si="12">(N40+R40)/2</f>
        <v>13912.514999999999</v>
      </c>
      <c r="K40" s="1025">
        <f t="shared" ref="K40" si="13">(O40+S40)/2</f>
        <v>0</v>
      </c>
      <c r="L40" s="1025"/>
      <c r="M40" s="1013"/>
      <c r="N40" s="1013">
        <v>-15938.01</v>
      </c>
      <c r="O40" s="1013"/>
      <c r="P40" s="1025"/>
      <c r="Q40" s="1013"/>
      <c r="R40" s="1013">
        <v>43763.040000000001</v>
      </c>
      <c r="S40" s="1013"/>
    </row>
    <row r="41" spans="1:19">
      <c r="A41" s="1047">
        <v>5.14</v>
      </c>
      <c r="B41" s="1013" t="s">
        <v>878</v>
      </c>
      <c r="C41" s="1025">
        <f t="shared" si="6"/>
        <v>728677.95</v>
      </c>
      <c r="D41" s="1025">
        <f t="shared" si="7"/>
        <v>691804.26</v>
      </c>
      <c r="E41" s="1025"/>
      <c r="F41" s="1025"/>
      <c r="G41" s="1025">
        <f t="shared" si="3"/>
        <v>710241</v>
      </c>
      <c r="H41" s="1025"/>
      <c r="I41" s="1025">
        <f t="shared" si="4"/>
        <v>0</v>
      </c>
      <c r="J41" s="1025">
        <f t="shared" si="4"/>
        <v>710241.10499999998</v>
      </c>
      <c r="K41" s="1025">
        <f t="shared" si="4"/>
        <v>0</v>
      </c>
      <c r="L41" s="1025"/>
      <c r="M41" s="1013"/>
      <c r="N41" s="1013">
        <v>728677.95</v>
      </c>
      <c r="O41" s="1013"/>
      <c r="P41" s="1025"/>
      <c r="Q41" s="1013"/>
      <c r="R41" s="1013">
        <v>691804.26</v>
      </c>
      <c r="S41" s="1013"/>
    </row>
    <row r="42" spans="1:19">
      <c r="A42" s="1047">
        <v>5.15</v>
      </c>
      <c r="B42" s="1013" t="s">
        <v>879</v>
      </c>
      <c r="C42" s="1025">
        <f t="shared" si="6"/>
        <v>106747947.84</v>
      </c>
      <c r="D42" s="1025">
        <f t="shared" si="7"/>
        <v>104137138.84</v>
      </c>
      <c r="E42" s="1025"/>
      <c r="F42" s="1025"/>
      <c r="G42" s="1025">
        <f t="shared" si="3"/>
        <v>105442543</v>
      </c>
      <c r="H42" s="1025"/>
      <c r="I42" s="1025">
        <f t="shared" si="4"/>
        <v>0</v>
      </c>
      <c r="J42" s="1025">
        <f t="shared" si="4"/>
        <v>105442543.34</v>
      </c>
      <c r="K42" s="1025">
        <f t="shared" si="4"/>
        <v>0</v>
      </c>
      <c r="L42" s="1025"/>
      <c r="M42" s="1013"/>
      <c r="N42" s="1013">
        <v>106747947.84</v>
      </c>
      <c r="O42" s="1013"/>
      <c r="P42" s="1025"/>
      <c r="Q42" s="1013"/>
      <c r="R42" s="1013">
        <v>104137138.84</v>
      </c>
      <c r="S42" s="1013"/>
    </row>
    <row r="43" spans="1:19">
      <c r="A43" s="1047">
        <v>5.16</v>
      </c>
      <c r="B43" s="1013" t="s">
        <v>880</v>
      </c>
      <c r="C43" s="1025">
        <f>SUM(M43:O43)</f>
        <v>-1570857.69</v>
      </c>
      <c r="D43" s="1025">
        <f>SUM(Q43:S43)</f>
        <v>-1309048.69</v>
      </c>
      <c r="E43" s="1025"/>
      <c r="F43" s="1025"/>
      <c r="G43" s="1025">
        <f t="shared" si="3"/>
        <v>-1439953</v>
      </c>
      <c r="H43" s="1025"/>
      <c r="I43" s="1025">
        <f t="shared" si="4"/>
        <v>0</v>
      </c>
      <c r="J43" s="1025">
        <f t="shared" si="4"/>
        <v>-1439953.19</v>
      </c>
      <c r="K43" s="1025">
        <f t="shared" si="4"/>
        <v>0</v>
      </c>
      <c r="L43" s="1025"/>
      <c r="M43" s="1013"/>
      <c r="N43" s="1013">
        <v>-1570857.69</v>
      </c>
      <c r="O43" s="1013"/>
      <c r="P43" s="1025"/>
      <c r="Q43" s="1013"/>
      <c r="R43" s="1013">
        <v>-1309048.69</v>
      </c>
      <c r="S43" s="1013"/>
    </row>
    <row r="44" spans="1:19">
      <c r="A44" s="1047">
        <v>5.17</v>
      </c>
      <c r="B44" s="1403" t="s">
        <v>962</v>
      </c>
      <c r="C44" s="1403">
        <f t="shared" ref="C44" si="14">SUM(M44:O44)</f>
        <v>-68281710.772239223</v>
      </c>
      <c r="D44" s="1403">
        <f t="shared" ref="D44" si="15">SUM(Q44:S44)</f>
        <v>-68175465.550680056</v>
      </c>
      <c r="E44" s="1404"/>
      <c r="F44" s="1404"/>
      <c r="G44" s="1405">
        <f t="shared" ref="G44:G45" si="16">ROUND(SUM(C44:F44)/2,0)</f>
        <v>-68228588</v>
      </c>
      <c r="H44" s="1405"/>
      <c r="I44" s="1405">
        <f t="shared" ref="I44:K44" si="17">(M44+Q44)/2</f>
        <v>0</v>
      </c>
      <c r="J44" s="1405">
        <f t="shared" si="17"/>
        <v>-68228588.16145964</v>
      </c>
      <c r="K44" s="1405">
        <f t="shared" si="17"/>
        <v>0</v>
      </c>
      <c r="L44" s="1025"/>
      <c r="M44" s="1013"/>
      <c r="N44" s="1013">
        <v>-68281710.772239223</v>
      </c>
      <c r="O44" s="1013"/>
      <c r="P44" s="1025"/>
      <c r="Q44" s="1013"/>
      <c r="R44" s="1013">
        <v>-68175465.550680056</v>
      </c>
      <c r="S44" s="1013"/>
    </row>
    <row r="45" spans="1:19">
      <c r="A45" s="1047">
        <v>5.18</v>
      </c>
      <c r="B45" s="1403" t="s">
        <v>963</v>
      </c>
      <c r="C45" s="1403">
        <f>-E45</f>
        <v>68281710.772239223</v>
      </c>
      <c r="D45" s="1403">
        <f>-F45</f>
        <v>68175465.550680056</v>
      </c>
      <c r="E45" s="1404">
        <f>C44</f>
        <v>-68281710.772239223</v>
      </c>
      <c r="F45" s="1404">
        <f>D44</f>
        <v>-68175465.550680056</v>
      </c>
      <c r="G45" s="1405">
        <f t="shared" si="16"/>
        <v>0</v>
      </c>
      <c r="H45" s="1405"/>
      <c r="I45" s="1405"/>
      <c r="J45" s="1405"/>
      <c r="K45" s="1405"/>
      <c r="L45" s="1025"/>
      <c r="M45" s="1013"/>
      <c r="N45" s="1013"/>
      <c r="O45" s="1013"/>
      <c r="P45" s="1025"/>
      <c r="Q45" s="1013"/>
      <c r="R45" s="1013"/>
      <c r="S45" s="1013"/>
    </row>
    <row r="46" spans="1:19">
      <c r="A46" s="1047">
        <v>5.19</v>
      </c>
      <c r="B46" s="1013" t="s">
        <v>863</v>
      </c>
      <c r="C46" s="1013">
        <f>SUM(M46:O46)</f>
        <v>0</v>
      </c>
      <c r="D46" s="1013">
        <f>SUM(Q46:S46)</f>
        <v>0</v>
      </c>
      <c r="E46" s="1025">
        <v>0</v>
      </c>
      <c r="F46" s="1025">
        <v>0</v>
      </c>
      <c r="G46" s="1025">
        <f>ROUND(SUM(C46:F46)/2,0)</f>
        <v>0</v>
      </c>
      <c r="H46" s="1025"/>
      <c r="I46" s="1025">
        <f t="shared" ref="I46:K48" si="18">(M46+Q46)/2</f>
        <v>0</v>
      </c>
      <c r="J46" s="1025">
        <f t="shared" si="18"/>
        <v>0</v>
      </c>
      <c r="K46" s="1025">
        <f t="shared" si="18"/>
        <v>0</v>
      </c>
      <c r="L46" s="1025"/>
      <c r="M46" s="1013"/>
      <c r="N46" s="1013"/>
      <c r="O46" s="1013"/>
      <c r="P46" s="1025"/>
      <c r="Q46" s="1013"/>
      <c r="R46" s="1013"/>
      <c r="S46" s="1013"/>
    </row>
    <row r="47" spans="1:19">
      <c r="A47" s="1047">
        <v>5.2</v>
      </c>
      <c r="B47" s="1013" t="s">
        <v>881</v>
      </c>
      <c r="C47" s="1013">
        <f>-E47</f>
        <v>29104171.800000001</v>
      </c>
      <c r="D47" s="1013">
        <f>-F47</f>
        <v>33785663.689999998</v>
      </c>
      <c r="E47" s="1025">
        <v>-29104171.800000001</v>
      </c>
      <c r="F47" s="1025">
        <v>-33785663.689999998</v>
      </c>
      <c r="G47" s="1025">
        <f>ROUND(SUM(C47:F47)/2,0)</f>
        <v>0</v>
      </c>
      <c r="H47" s="1025"/>
      <c r="I47" s="1025">
        <f t="shared" si="18"/>
        <v>0</v>
      </c>
      <c r="J47" s="1025">
        <f t="shared" si="18"/>
        <v>0</v>
      </c>
      <c r="K47" s="1025">
        <f t="shared" si="18"/>
        <v>0</v>
      </c>
      <c r="L47" s="1025"/>
      <c r="M47" s="1013"/>
      <c r="N47" s="1013"/>
      <c r="O47" s="1013"/>
      <c r="P47" s="1025"/>
      <c r="Q47" s="1013"/>
      <c r="R47" s="1013"/>
      <c r="S47" s="1013"/>
    </row>
    <row r="48" spans="1:19">
      <c r="A48" s="1047">
        <v>5.21</v>
      </c>
      <c r="B48" s="1013" t="s">
        <v>882</v>
      </c>
      <c r="C48" s="1013">
        <f>-E48</f>
        <v>-105177090.15000001</v>
      </c>
      <c r="D48" s="1013">
        <f>-F48</f>
        <v>-102828090.15000001</v>
      </c>
      <c r="E48" s="1025">
        <v>105177090.15000001</v>
      </c>
      <c r="F48" s="1025">
        <v>102828090.15000001</v>
      </c>
      <c r="G48" s="1025">
        <f>ROUND(SUM(C48:F48)/2,0)</f>
        <v>0</v>
      </c>
      <c r="H48" s="1025"/>
      <c r="I48" s="1025">
        <f t="shared" si="18"/>
        <v>0</v>
      </c>
      <c r="J48" s="1025">
        <f t="shared" si="18"/>
        <v>0</v>
      </c>
      <c r="K48" s="1025">
        <f t="shared" si="18"/>
        <v>0</v>
      </c>
      <c r="L48" s="1025"/>
      <c r="M48" s="1013"/>
      <c r="N48" s="1013"/>
      <c r="O48" s="1013"/>
      <c r="P48" s="1025"/>
      <c r="Q48" s="1013"/>
      <c r="R48" s="1013"/>
      <c r="S48" s="1013"/>
    </row>
    <row r="49" spans="1:19">
      <c r="A49" s="1006"/>
    </row>
    <row r="50" spans="1:19">
      <c r="A50" s="1033"/>
      <c r="B50" s="1017"/>
      <c r="C50" s="1025"/>
      <c r="D50" s="1025"/>
      <c r="E50" s="1025"/>
      <c r="F50" s="1025"/>
      <c r="G50" s="1025"/>
      <c r="H50" s="1025"/>
      <c r="I50" s="1025"/>
      <c r="J50" s="1025"/>
      <c r="K50" s="1025"/>
      <c r="L50" s="1025"/>
      <c r="M50" s="1025"/>
      <c r="N50" s="1025"/>
      <c r="O50" s="1025"/>
      <c r="P50" s="1025"/>
      <c r="Q50" s="1025"/>
      <c r="R50" s="1025"/>
      <c r="S50" s="1025"/>
    </row>
    <row r="51" spans="1:19" ht="13.5" thickBot="1">
      <c r="A51" s="1033">
        <v>6</v>
      </c>
      <c r="B51" s="1014" t="s">
        <v>676</v>
      </c>
      <c r="C51" s="1027">
        <f>SUM(C28:C50)</f>
        <v>271638802.42000008</v>
      </c>
      <c r="D51" s="1027">
        <f>SUM(D28:D50)</f>
        <v>293102057.5</v>
      </c>
      <c r="E51" s="1027">
        <f>SUM(E28:E50)</f>
        <v>7791207.5777607858</v>
      </c>
      <c r="F51" s="1027">
        <f>SUM(F28:F50)</f>
        <v>866960.90931995213</v>
      </c>
      <c r="G51" s="1027">
        <f>SUM(G28:G50)</f>
        <v>286699516</v>
      </c>
      <c r="H51" s="1025"/>
      <c r="I51" s="1027">
        <f>SUM(I28:I50)</f>
        <v>0</v>
      </c>
      <c r="J51" s="1027">
        <f>SUM(J28:J50)</f>
        <v>286699514.20354033</v>
      </c>
      <c r="K51" s="1027">
        <f>SUM(K28:K50)</f>
        <v>0</v>
      </c>
      <c r="L51" s="1025"/>
      <c r="M51" s="1027">
        <f>SUM(M28:M50)</f>
        <v>0</v>
      </c>
      <c r="N51" s="1027">
        <f>SUM(N28:N50)</f>
        <v>279430009.99776083</v>
      </c>
      <c r="O51" s="1027">
        <f>SUM(O28:O50)</f>
        <v>0</v>
      </c>
      <c r="P51" s="1025"/>
      <c r="Q51" s="1027">
        <f>SUM(Q28:Q50)</f>
        <v>0</v>
      </c>
      <c r="R51" s="1027">
        <f>SUM(R28:R50)</f>
        <v>293969018.40931994</v>
      </c>
      <c r="S51" s="1027">
        <f>SUM(S28:S50)</f>
        <v>0</v>
      </c>
    </row>
    <row r="52" spans="1:19" ht="13.5" thickTop="1">
      <c r="A52" s="1033">
        <f>A51+1</f>
        <v>7</v>
      </c>
      <c r="B52" s="1017" t="s">
        <v>677</v>
      </c>
      <c r="C52" s="1028">
        <v>0</v>
      </c>
      <c r="D52" s="1028">
        <v>0</v>
      </c>
      <c r="E52" s="1028">
        <v>0</v>
      </c>
      <c r="F52" s="1028">
        <v>0</v>
      </c>
      <c r="G52" s="1028">
        <v>0</v>
      </c>
      <c r="H52" s="1025"/>
      <c r="I52" s="1028">
        <v>0</v>
      </c>
      <c r="J52" s="1028">
        <v>0</v>
      </c>
      <c r="K52" s="1028">
        <v>0</v>
      </c>
      <c r="L52" s="1028"/>
      <c r="M52" s="1028">
        <v>0</v>
      </c>
      <c r="N52" s="1028">
        <v>0</v>
      </c>
      <c r="O52" s="1028">
        <v>0</v>
      </c>
      <c r="P52" s="1025"/>
      <c r="Q52" s="1028">
        <v>0</v>
      </c>
      <c r="R52" s="1028">
        <v>0</v>
      </c>
      <c r="S52" s="1028">
        <v>0</v>
      </c>
    </row>
    <row r="53" spans="1:19">
      <c r="A53" s="1033"/>
      <c r="B53" s="1014"/>
      <c r="C53" s="1025"/>
      <c r="D53" s="1029"/>
      <c r="E53" s="1025"/>
      <c r="F53" s="1025"/>
      <c r="G53" s="1025"/>
      <c r="H53" s="1025"/>
      <c r="I53" s="1025"/>
      <c r="J53" s="1025"/>
      <c r="K53" s="1025"/>
      <c r="L53" s="1025"/>
      <c r="M53" s="1025"/>
      <c r="N53" s="1025"/>
      <c r="O53" s="1025"/>
      <c r="P53" s="1025"/>
      <c r="Q53" s="1025"/>
      <c r="R53" s="1025"/>
      <c r="S53" s="1025"/>
    </row>
    <row r="54" spans="1:19">
      <c r="A54" s="1033">
        <v>8</v>
      </c>
      <c r="B54" s="1011" t="s">
        <v>678</v>
      </c>
      <c r="C54" s="1025" t="s">
        <v>416</v>
      </c>
      <c r="D54" s="1025"/>
      <c r="E54" s="1025"/>
      <c r="F54" s="1025"/>
      <c r="G54" s="1025"/>
      <c r="H54" s="1025"/>
      <c r="I54" s="1025"/>
      <c r="J54" s="1025"/>
      <c r="K54" s="1025"/>
      <c r="L54" s="1025"/>
      <c r="M54" s="1025"/>
      <c r="N54" s="1025"/>
      <c r="O54" s="1025"/>
      <c r="P54" s="1025"/>
      <c r="Q54" s="1025"/>
      <c r="R54" s="1025"/>
      <c r="S54" s="1025"/>
    </row>
    <row r="55" spans="1:19">
      <c r="A55" s="1033"/>
      <c r="B55" s="1017"/>
      <c r="C55" s="1025"/>
      <c r="D55" s="1025"/>
      <c r="E55" s="1025"/>
      <c r="F55" s="1025"/>
      <c r="G55" s="1025"/>
      <c r="H55" s="1025"/>
      <c r="I55" s="1025"/>
      <c r="J55" s="1025"/>
      <c r="K55" s="1025"/>
      <c r="L55" s="1025"/>
      <c r="M55" s="1025"/>
      <c r="N55" s="1025"/>
      <c r="O55" s="1025"/>
      <c r="P55" s="1025"/>
      <c r="Q55" s="1025"/>
      <c r="R55" s="1025"/>
      <c r="S55" s="1025"/>
    </row>
    <row r="56" spans="1:19">
      <c r="A56" s="1047">
        <v>9.01</v>
      </c>
      <c r="B56" s="1013" t="s">
        <v>883</v>
      </c>
      <c r="C56" s="1025">
        <f>SUM(M56:O56)</f>
        <v>0.02</v>
      </c>
      <c r="D56" s="1025">
        <f>SUM(Q56:S56)</f>
        <v>0.02</v>
      </c>
      <c r="E56" s="1025"/>
      <c r="F56" s="1025"/>
      <c r="G56" s="1025">
        <f>ROUND(SUM(C56:F56)/2,0)</f>
        <v>0</v>
      </c>
      <c r="H56" s="1025"/>
      <c r="I56" s="1025">
        <f>(M56+Q56)/2</f>
        <v>0</v>
      </c>
      <c r="J56" s="1025">
        <f>(N56+R56)/2</f>
        <v>0.02</v>
      </c>
      <c r="K56" s="1025">
        <f>(O56+S56)/2</f>
        <v>0</v>
      </c>
      <c r="L56" s="1025"/>
      <c r="M56" s="1013"/>
      <c r="N56" s="1013">
        <v>0.02</v>
      </c>
      <c r="O56" s="1013"/>
      <c r="P56" s="1025"/>
      <c r="Q56" s="1013"/>
      <c r="R56" s="1013">
        <v>0.02</v>
      </c>
      <c r="S56" s="1013"/>
    </row>
    <row r="57" spans="1:19">
      <c r="A57" s="1047">
        <f>A56+0.01</f>
        <v>9.02</v>
      </c>
      <c r="B57" s="1013" t="s">
        <v>1039</v>
      </c>
      <c r="C57" s="1025">
        <f>SUM(M57:O57)</f>
        <v>0</v>
      </c>
      <c r="D57" s="1025">
        <f>SUM(Q57:S57)</f>
        <v>590887.29</v>
      </c>
      <c r="E57" s="1025"/>
      <c r="F57" s="1025"/>
      <c r="G57" s="1025">
        <f>ROUND(SUM(C57:F57)/2,0)</f>
        <v>295444</v>
      </c>
      <c r="H57" s="1025"/>
      <c r="I57" s="1025">
        <f t="shared" ref="I57:K59" si="19">(M57+Q57)/2</f>
        <v>0</v>
      </c>
      <c r="J57" s="1025">
        <f t="shared" si="19"/>
        <v>295443.64500000002</v>
      </c>
      <c r="K57" s="1025">
        <f t="shared" si="19"/>
        <v>0</v>
      </c>
      <c r="L57" s="1025"/>
      <c r="M57" s="1013"/>
      <c r="N57" s="1013">
        <v>0</v>
      </c>
      <c r="O57" s="1013"/>
      <c r="P57" s="1025"/>
      <c r="Q57" s="1013"/>
      <c r="R57" s="1013">
        <v>590887.29</v>
      </c>
      <c r="S57" s="1013"/>
    </row>
    <row r="58" spans="1:19">
      <c r="A58" s="1047">
        <f t="shared" ref="A58:A66" si="20">A57+0.01</f>
        <v>9.0299999999999994</v>
      </c>
      <c r="B58" s="1013" t="s">
        <v>880</v>
      </c>
      <c r="C58" s="1025">
        <f>SUM(M58:O58)</f>
        <v>-8319634.1399999997</v>
      </c>
      <c r="D58" s="1025">
        <f>SUM(Q58:S58)</f>
        <v>-4901097.1399999997</v>
      </c>
      <c r="E58" s="1025"/>
      <c r="F58" s="1025"/>
      <c r="G58" s="1025">
        <f>ROUND(SUM(C58:F58)/2,0)</f>
        <v>-6610366</v>
      </c>
      <c r="H58" s="1025"/>
      <c r="I58" s="1025">
        <f t="shared" si="19"/>
        <v>0</v>
      </c>
      <c r="J58" s="1025">
        <f t="shared" si="19"/>
        <v>-6610365.6399999997</v>
      </c>
      <c r="K58" s="1025">
        <f t="shared" si="19"/>
        <v>0</v>
      </c>
      <c r="L58" s="1025"/>
      <c r="M58" s="1013"/>
      <c r="N58" s="1013">
        <v>-8319634.1399999997</v>
      </c>
      <c r="O58" s="1013"/>
      <c r="P58" s="1025"/>
      <c r="Q58" s="1013"/>
      <c r="R58" s="1013">
        <v>-4901097.1399999997</v>
      </c>
      <c r="S58" s="1013"/>
    </row>
    <row r="59" spans="1:19">
      <c r="A59" s="1047">
        <f t="shared" si="20"/>
        <v>9.0399999999999991</v>
      </c>
      <c r="B59" s="1403" t="s">
        <v>962</v>
      </c>
      <c r="C59" s="1403">
        <f t="shared" ref="C59" si="21">SUM(M59:O59)</f>
        <v>0</v>
      </c>
      <c r="D59" s="1403">
        <f t="shared" ref="D59" si="22">SUM(Q59:S59)</f>
        <v>0</v>
      </c>
      <c r="E59" s="1404"/>
      <c r="F59" s="1404"/>
      <c r="G59" s="1405">
        <f t="shared" ref="G59:G60" si="23">ROUND(SUM(C59:F59)/2,0)</f>
        <v>0</v>
      </c>
      <c r="H59" s="1405"/>
      <c r="I59" s="1405">
        <f t="shared" si="19"/>
        <v>0</v>
      </c>
      <c r="J59" s="1405">
        <f t="shared" si="19"/>
        <v>0</v>
      </c>
      <c r="K59" s="1405">
        <f t="shared" si="19"/>
        <v>0</v>
      </c>
      <c r="L59" s="1025"/>
      <c r="M59" s="1013"/>
      <c r="N59" s="1013">
        <v>0</v>
      </c>
      <c r="O59" s="1013"/>
      <c r="P59" s="1025"/>
      <c r="Q59" s="1013"/>
      <c r="R59" s="1013">
        <v>0</v>
      </c>
      <c r="S59" s="1013"/>
    </row>
    <row r="60" spans="1:19">
      <c r="A60" s="1047">
        <f t="shared" si="20"/>
        <v>9.0499999999999989</v>
      </c>
      <c r="B60" s="1403" t="s">
        <v>963</v>
      </c>
      <c r="C60" s="1403">
        <f>-E60</f>
        <v>0</v>
      </c>
      <c r="D60" s="1403">
        <f>-F60</f>
        <v>0</v>
      </c>
      <c r="E60" s="1404">
        <f>C59</f>
        <v>0</v>
      </c>
      <c r="F60" s="1404">
        <f>D59</f>
        <v>0</v>
      </c>
      <c r="G60" s="1405">
        <f t="shared" si="23"/>
        <v>0</v>
      </c>
      <c r="H60" s="1405"/>
      <c r="I60" s="1405"/>
      <c r="J60" s="1405"/>
      <c r="K60" s="1405"/>
      <c r="L60" s="1025"/>
      <c r="M60" s="1013"/>
      <c r="N60" s="1013"/>
      <c r="O60" s="1013"/>
      <c r="P60" s="1025"/>
      <c r="Q60" s="1013"/>
      <c r="R60" s="1013"/>
      <c r="S60" s="1013"/>
    </row>
    <row r="61" spans="1:19">
      <c r="A61" s="1047">
        <f t="shared" si="20"/>
        <v>9.0599999999999987</v>
      </c>
      <c r="B61" s="1013" t="s">
        <v>884</v>
      </c>
      <c r="C61" s="1013">
        <v>0</v>
      </c>
      <c r="D61" s="1013">
        <v>0</v>
      </c>
      <c r="E61" s="1025">
        <v>0</v>
      </c>
      <c r="F61" s="1025">
        <v>0</v>
      </c>
      <c r="G61" s="1025">
        <f t="shared" ref="G61:G66" si="24">ROUND(SUM(C61:F61)/2,0)</f>
        <v>0</v>
      </c>
      <c r="H61" s="1025"/>
      <c r="I61" s="1025"/>
      <c r="J61" s="1025"/>
      <c r="K61" s="1025"/>
      <c r="L61" s="1025"/>
      <c r="M61" s="1025"/>
      <c r="N61" s="1025"/>
      <c r="O61" s="1025"/>
      <c r="P61" s="1025"/>
      <c r="Q61" s="1025"/>
      <c r="R61" s="1025"/>
      <c r="S61" s="1025"/>
    </row>
    <row r="62" spans="1:19">
      <c r="A62" s="1047">
        <f t="shared" si="20"/>
        <v>9.0699999999999985</v>
      </c>
      <c r="B62" s="1013" t="s">
        <v>885</v>
      </c>
      <c r="C62" s="1013">
        <f>-E62</f>
        <v>6681414.4400000004</v>
      </c>
      <c r="D62" s="1013">
        <f>-F62</f>
        <v>7925861.6600000001</v>
      </c>
      <c r="E62" s="1025">
        <v>-6681414.4400000004</v>
      </c>
      <c r="F62" s="1025">
        <v>-7925861.6600000001</v>
      </c>
      <c r="G62" s="1025">
        <f t="shared" si="24"/>
        <v>0</v>
      </c>
      <c r="H62" s="1025"/>
      <c r="I62" s="1025"/>
      <c r="J62" s="1025"/>
      <c r="K62" s="1025"/>
      <c r="L62" s="1025"/>
      <c r="M62" s="1025"/>
      <c r="N62" s="1025"/>
      <c r="O62" s="1025"/>
      <c r="P62" s="1025"/>
      <c r="Q62" s="1025"/>
      <c r="R62" s="1025"/>
      <c r="S62" s="1025"/>
    </row>
    <row r="63" spans="1:19">
      <c r="A63" s="1047">
        <f t="shared" si="20"/>
        <v>9.0799999999999983</v>
      </c>
      <c r="B63" s="1013" t="s">
        <v>886</v>
      </c>
      <c r="C63" s="1013">
        <f>-E63</f>
        <v>8319634.1399999997</v>
      </c>
      <c r="D63" s="1013">
        <f>-F63</f>
        <v>4901097.1399999997</v>
      </c>
      <c r="E63" s="1025">
        <v>-8319634.1399999997</v>
      </c>
      <c r="F63" s="1025">
        <v>-4901097.1399999997</v>
      </c>
      <c r="G63" s="1025">
        <f t="shared" si="24"/>
        <v>0</v>
      </c>
      <c r="H63" s="1025"/>
      <c r="I63" s="1025"/>
      <c r="J63" s="1025"/>
      <c r="K63" s="1025"/>
      <c r="L63" s="1025"/>
      <c r="M63" s="1025"/>
      <c r="N63" s="1025"/>
      <c r="O63" s="1025"/>
      <c r="P63" s="1025"/>
      <c r="Q63" s="1025"/>
      <c r="R63" s="1025"/>
      <c r="S63" s="1025"/>
    </row>
    <row r="64" spans="1:19">
      <c r="A64" s="1047">
        <f t="shared" si="20"/>
        <v>9.0899999999999981</v>
      </c>
      <c r="B64" s="1013" t="s">
        <v>887</v>
      </c>
      <c r="C64" s="1013">
        <v>0</v>
      </c>
      <c r="D64" s="1013">
        <v>0</v>
      </c>
      <c r="E64" s="1025">
        <v>0</v>
      </c>
      <c r="F64" s="1025">
        <v>0</v>
      </c>
      <c r="G64" s="1025">
        <f t="shared" si="24"/>
        <v>0</v>
      </c>
      <c r="H64" s="1025"/>
      <c r="I64" s="1025"/>
      <c r="J64" s="1025"/>
      <c r="K64" s="1025"/>
      <c r="L64" s="1025"/>
      <c r="M64" s="1025"/>
      <c r="N64" s="1025"/>
      <c r="O64" s="1025"/>
      <c r="P64" s="1025"/>
      <c r="Q64" s="1025"/>
      <c r="R64" s="1025"/>
      <c r="S64" s="1025"/>
    </row>
    <row r="65" spans="1:19">
      <c r="A65" s="1047">
        <f t="shared" si="20"/>
        <v>9.0999999999999979</v>
      </c>
      <c r="B65" s="1013" t="s">
        <v>888</v>
      </c>
      <c r="C65" s="1013">
        <v>0</v>
      </c>
      <c r="D65" s="1013">
        <v>0</v>
      </c>
      <c r="E65" s="1025">
        <v>0</v>
      </c>
      <c r="F65" s="1025">
        <v>0</v>
      </c>
      <c r="G65" s="1025">
        <f t="shared" si="24"/>
        <v>0</v>
      </c>
      <c r="H65" s="1025"/>
      <c r="I65" s="1025"/>
      <c r="J65" s="1025"/>
      <c r="K65" s="1025"/>
      <c r="L65" s="1025"/>
      <c r="M65" s="1025"/>
      <c r="N65" s="1025"/>
      <c r="O65" s="1025"/>
      <c r="P65" s="1025"/>
      <c r="Q65" s="1025"/>
      <c r="R65" s="1025"/>
      <c r="S65" s="1025"/>
    </row>
    <row r="66" spans="1:19">
      <c r="A66" s="1047">
        <f t="shared" si="20"/>
        <v>9.1099999999999977</v>
      </c>
      <c r="B66" s="1013"/>
      <c r="C66" s="1013"/>
      <c r="D66" s="1013"/>
      <c r="E66" s="1025">
        <f>-C66</f>
        <v>0</v>
      </c>
      <c r="F66" s="1025">
        <f>-D66</f>
        <v>0</v>
      </c>
      <c r="G66" s="1025">
        <f t="shared" si="24"/>
        <v>0</v>
      </c>
      <c r="H66" s="1025"/>
      <c r="I66" s="1025"/>
      <c r="J66" s="1025"/>
      <c r="K66" s="1025"/>
      <c r="L66" s="1025"/>
      <c r="M66" s="1025"/>
      <c r="N66" s="1025"/>
      <c r="O66" s="1025"/>
      <c r="P66" s="1025"/>
      <c r="Q66" s="1025"/>
      <c r="R66" s="1025"/>
      <c r="S66" s="1025"/>
    </row>
    <row r="67" spans="1:19">
      <c r="A67" s="1033"/>
      <c r="B67" s="1017"/>
      <c r="C67" s="1025"/>
      <c r="D67" s="1025"/>
      <c r="E67" s="1025"/>
      <c r="F67" s="1025"/>
      <c r="G67" s="1025"/>
      <c r="H67" s="1025"/>
      <c r="I67" s="1025"/>
      <c r="J67" s="1025"/>
      <c r="K67" s="1025"/>
      <c r="L67" s="1025"/>
      <c r="M67" s="1025"/>
      <c r="N67" s="1025"/>
      <c r="O67" s="1025"/>
      <c r="P67" s="1025"/>
      <c r="Q67" s="1025"/>
      <c r="R67" s="1025"/>
      <c r="S67" s="1025"/>
    </row>
    <row r="68" spans="1:19">
      <c r="A68" s="1033"/>
      <c r="B68" s="1017"/>
      <c r="C68" s="1025"/>
      <c r="D68" s="1025"/>
      <c r="E68" s="1025"/>
      <c r="F68" s="1025"/>
      <c r="G68" s="1025"/>
      <c r="H68" s="1025"/>
      <c r="I68" s="1025"/>
      <c r="J68" s="1025"/>
      <c r="K68" s="1025"/>
      <c r="L68" s="1025"/>
      <c r="M68" s="1025"/>
      <c r="N68" s="1025"/>
      <c r="O68" s="1025"/>
      <c r="P68" s="1025"/>
      <c r="Q68" s="1025"/>
      <c r="R68" s="1025"/>
      <c r="S68" s="1025"/>
    </row>
    <row r="69" spans="1:19" ht="13.5" thickBot="1">
      <c r="A69" s="1033">
        <v>10</v>
      </c>
      <c r="B69" s="1014"/>
      <c r="C69" s="1027">
        <f>SUM(C56:C68)</f>
        <v>6681414.46</v>
      </c>
      <c r="D69" s="1027">
        <f>SUM(D56:D68)</f>
        <v>8516748.9699999988</v>
      </c>
      <c r="E69" s="1027">
        <f>SUM(E56:E68)</f>
        <v>-15001048.58</v>
      </c>
      <c r="F69" s="1027">
        <f>SUM(F56:F68)</f>
        <v>-12826958.800000001</v>
      </c>
      <c r="G69" s="1027">
        <f>SUM(G56:G68)</f>
        <v>-6314922</v>
      </c>
      <c r="H69" s="1025"/>
      <c r="I69" s="1027">
        <f>SUM(I56:I68)</f>
        <v>0</v>
      </c>
      <c r="J69" s="1027">
        <f>SUM(J56:J68)</f>
        <v>-6314921.9749999996</v>
      </c>
      <c r="K69" s="1027">
        <f>SUM(K56:K68)</f>
        <v>0</v>
      </c>
      <c r="L69" s="1025"/>
      <c r="M69" s="1027">
        <f>SUM(M56:M68)</f>
        <v>0</v>
      </c>
      <c r="N69" s="1027">
        <f>SUM(N56:N68)</f>
        <v>-8319634.1200000001</v>
      </c>
      <c r="O69" s="1027">
        <f>SUM(O56:O68)</f>
        <v>0</v>
      </c>
      <c r="P69" s="1025"/>
      <c r="Q69" s="1027">
        <f>SUM(Q56:Q68)</f>
        <v>0</v>
      </c>
      <c r="R69" s="1027">
        <f>SUM(R56:R68)</f>
        <v>-4310209.83</v>
      </c>
      <c r="S69" s="1027">
        <f>SUM(S56:S68)</f>
        <v>0</v>
      </c>
    </row>
    <row r="70" spans="1:19" ht="13.5" thickTop="1">
      <c r="A70" s="1033"/>
      <c r="B70" s="1017"/>
      <c r="C70" s="1028"/>
      <c r="D70" s="1028"/>
      <c r="E70" s="1028"/>
      <c r="F70" s="1028"/>
      <c r="G70" s="1028"/>
      <c r="H70" s="1025"/>
      <c r="I70" s="1028"/>
      <c r="J70" s="1028"/>
      <c r="K70" s="1028"/>
      <c r="L70" s="1025"/>
      <c r="M70" s="1028"/>
      <c r="N70" s="1028"/>
      <c r="O70" s="1028"/>
      <c r="P70" s="1025"/>
      <c r="Q70" s="1028"/>
      <c r="R70" s="1028"/>
      <c r="S70" s="1028"/>
    </row>
    <row r="71" spans="1:19">
      <c r="A71" s="1033"/>
      <c r="B71" s="1017"/>
      <c r="C71" s="1025"/>
      <c r="D71" s="1025"/>
      <c r="E71" s="1025"/>
      <c r="F71" s="1025"/>
      <c r="G71" s="1025"/>
      <c r="H71" s="1025"/>
      <c r="I71" s="1025"/>
      <c r="J71" s="1025"/>
      <c r="K71" s="1025"/>
      <c r="L71" s="1025"/>
      <c r="M71" s="1025"/>
      <c r="N71" s="1025"/>
      <c r="O71" s="1025"/>
      <c r="P71" s="1025"/>
      <c r="Q71" s="1025"/>
      <c r="R71" s="1025"/>
      <c r="S71" s="1025"/>
    </row>
    <row r="72" spans="1:19">
      <c r="A72" s="1033">
        <f>+A69+1</f>
        <v>11</v>
      </c>
      <c r="B72" s="1011" t="s">
        <v>679</v>
      </c>
      <c r="C72" s="1025">
        <f>SUM(M72:O72)</f>
        <v>42752056.289999999</v>
      </c>
      <c r="D72" s="1025">
        <f>SUM(Q72:S72)</f>
        <v>50455680.289999999</v>
      </c>
      <c r="E72" s="1025"/>
      <c r="F72" s="1025"/>
      <c r="G72" s="1025">
        <f>ROUND(SUM(C72:F72)/2,0)</f>
        <v>46603868</v>
      </c>
      <c r="H72" s="1025"/>
      <c r="I72" s="1025">
        <f>(M72+Q72)/2</f>
        <v>0</v>
      </c>
      <c r="J72" s="1025">
        <f>(N72+R72)/2</f>
        <v>46603868.289999999</v>
      </c>
      <c r="K72" s="1025">
        <f>(O72+S72)/2</f>
        <v>0</v>
      </c>
      <c r="L72" s="1025"/>
      <c r="M72" s="1013"/>
      <c r="N72" s="1013">
        <v>42752056.289999999</v>
      </c>
      <c r="O72" s="1013"/>
      <c r="P72" s="1025"/>
      <c r="Q72" s="1013"/>
      <c r="R72" s="1013">
        <v>50455680.289999999</v>
      </c>
      <c r="S72" s="1013"/>
    </row>
    <row r="73" spans="1:19">
      <c r="A73" s="1055">
        <f>A72+0.01</f>
        <v>11.01</v>
      </c>
      <c r="B73" s="1013"/>
      <c r="C73" s="1013"/>
      <c r="D73" s="1013"/>
      <c r="E73" s="1025">
        <f>-C73</f>
        <v>0</v>
      </c>
      <c r="F73" s="1025">
        <f>-D73</f>
        <v>0</v>
      </c>
      <c r="G73" s="1025">
        <f>ROUND(SUM(C73:F73)/2,0)</f>
        <v>0</v>
      </c>
      <c r="H73" s="1025"/>
      <c r="I73" s="1025"/>
      <c r="J73" s="1025"/>
      <c r="K73" s="1025"/>
      <c r="L73" s="1025"/>
      <c r="M73" s="1025"/>
      <c r="N73" s="1025"/>
      <c r="O73" s="1025"/>
      <c r="P73" s="1025"/>
      <c r="Q73" s="1025"/>
      <c r="R73" s="1025"/>
      <c r="S73" s="1025"/>
    </row>
    <row r="74" spans="1:19">
      <c r="A74" s="1033"/>
      <c r="B74" s="1017"/>
      <c r="C74" s="1025"/>
      <c r="D74" s="1025"/>
      <c r="E74" s="1025"/>
      <c r="F74" s="1025"/>
      <c r="G74" s="1025"/>
      <c r="H74" s="1025"/>
      <c r="I74" s="1025"/>
      <c r="J74" s="1025"/>
      <c r="K74" s="1025"/>
      <c r="L74" s="1025"/>
      <c r="M74" s="1025"/>
      <c r="N74" s="1025"/>
      <c r="O74" s="1025"/>
      <c r="P74" s="1025"/>
      <c r="Q74" s="1025"/>
      <c r="R74" s="1025"/>
      <c r="S74" s="1025"/>
    </row>
    <row r="75" spans="1:19" ht="13.5" thickBot="1">
      <c r="A75" s="1033">
        <f>+A72+1</f>
        <v>12</v>
      </c>
      <c r="B75" s="1014" t="s">
        <v>680</v>
      </c>
      <c r="C75" s="1027">
        <f>SUM(C69:C74)</f>
        <v>49433470.75</v>
      </c>
      <c r="D75" s="1027">
        <f>SUM(D69:D74)</f>
        <v>58972429.259999998</v>
      </c>
      <c r="E75" s="1027">
        <f>SUM(E69:E74)</f>
        <v>-15001048.58</v>
      </c>
      <c r="F75" s="1027">
        <f>SUM(F69:F74)</f>
        <v>-12826958.800000001</v>
      </c>
      <c r="G75" s="1027">
        <f>SUM(G69:G74)</f>
        <v>40288946</v>
      </c>
      <c r="H75" s="1025"/>
      <c r="I75" s="1027">
        <f>SUM(I69:I74)</f>
        <v>0</v>
      </c>
      <c r="J75" s="1027">
        <f>SUM(J69:J74)</f>
        <v>40288946.314999998</v>
      </c>
      <c r="K75" s="1027">
        <f>SUM(K69:K74)</f>
        <v>0</v>
      </c>
      <c r="L75" s="1025"/>
      <c r="M75" s="1030">
        <f>SUM(M69:M74)</f>
        <v>0</v>
      </c>
      <c r="N75" s="1030">
        <f>SUM(N69:N74)</f>
        <v>34432422.170000002</v>
      </c>
      <c r="O75" s="1030">
        <f>SUM(O69:O74)</f>
        <v>0</v>
      </c>
      <c r="P75" s="1025"/>
      <c r="Q75" s="1027">
        <f>SUM(Q69:Q74)</f>
        <v>0</v>
      </c>
      <c r="R75" s="1027">
        <f>SUM(R69:R74)</f>
        <v>46145470.460000001</v>
      </c>
      <c r="S75" s="1027">
        <f>SUM(S69:S74)</f>
        <v>0</v>
      </c>
    </row>
    <row r="76" spans="1:19" ht="13.5" thickTop="1">
      <c r="A76" s="1033">
        <f>A75+1</f>
        <v>13</v>
      </c>
      <c r="B76" s="1017" t="s">
        <v>681</v>
      </c>
      <c r="C76" s="1028">
        <v>0</v>
      </c>
      <c r="D76" s="1028">
        <v>0</v>
      </c>
      <c r="E76" s="1028">
        <v>0</v>
      </c>
      <c r="F76" s="1028">
        <v>0</v>
      </c>
      <c r="G76" s="1028">
        <v>0</v>
      </c>
      <c r="H76" s="1025"/>
      <c r="I76" s="1028">
        <v>0</v>
      </c>
      <c r="J76" s="1028">
        <v>0</v>
      </c>
      <c r="K76" s="1028">
        <v>0</v>
      </c>
      <c r="L76" s="1025"/>
      <c r="M76" s="1028">
        <v>0</v>
      </c>
      <c r="N76" s="1028">
        <v>0</v>
      </c>
      <c r="O76" s="1028">
        <v>0</v>
      </c>
      <c r="P76" s="1025"/>
      <c r="Q76" s="1028">
        <v>0</v>
      </c>
      <c r="R76" s="1028">
        <v>0</v>
      </c>
      <c r="S76" s="1028">
        <v>0</v>
      </c>
    </row>
    <row r="77" spans="1:19">
      <c r="A77" s="1033"/>
      <c r="B77" s="1017"/>
      <c r="C77" s="1029"/>
      <c r="D77" s="1029"/>
      <c r="E77" s="1025"/>
      <c r="F77" s="1025"/>
      <c r="G77" s="1025"/>
      <c r="H77" s="1025"/>
      <c r="I77" s="1025"/>
      <c r="J77" s="1025"/>
      <c r="K77" s="1025"/>
      <c r="L77" s="1025"/>
      <c r="M77" s="1025"/>
      <c r="N77" s="1025"/>
      <c r="O77" s="1025"/>
      <c r="P77" s="1025"/>
      <c r="Q77" s="1025"/>
      <c r="R77" s="1025"/>
      <c r="S77" s="1025"/>
    </row>
    <row r="78" spans="1:19">
      <c r="A78" s="1033">
        <f>+A76+1</f>
        <v>14</v>
      </c>
      <c r="B78" s="1014" t="s">
        <v>682</v>
      </c>
      <c r="C78" s="1025"/>
      <c r="D78" s="1025"/>
      <c r="E78" s="1025"/>
      <c r="F78" s="1025"/>
      <c r="G78" s="1025"/>
      <c r="H78" s="1025"/>
      <c r="I78" s="1025"/>
      <c r="J78" s="1025"/>
      <c r="K78" s="1025"/>
      <c r="L78" s="1025"/>
      <c r="M78" s="1025"/>
      <c r="N78" s="1025"/>
      <c r="O78" s="1025"/>
      <c r="P78" s="1025"/>
      <c r="Q78" s="1025"/>
      <c r="R78" s="1025"/>
      <c r="S78" s="1025"/>
    </row>
    <row r="79" spans="1:19">
      <c r="A79" s="1033"/>
      <c r="B79" s="1017"/>
      <c r="C79" s="1025"/>
      <c r="D79" s="1025"/>
      <c r="E79" s="1025"/>
      <c r="F79" s="1025"/>
      <c r="G79" s="1025"/>
      <c r="H79" s="1025"/>
      <c r="I79" s="1025"/>
      <c r="J79" s="1025"/>
      <c r="K79" s="1025"/>
      <c r="L79" s="1025"/>
      <c r="M79" s="1025"/>
      <c r="N79" s="1025"/>
      <c r="O79" s="1025"/>
      <c r="P79" s="1025"/>
      <c r="Q79" s="1025"/>
      <c r="R79" s="1025"/>
      <c r="S79" s="1025"/>
    </row>
    <row r="80" spans="1:19">
      <c r="A80" s="1033">
        <f>+A78+1</f>
        <v>15</v>
      </c>
      <c r="B80" s="1014" t="s">
        <v>683</v>
      </c>
      <c r="C80" s="1025"/>
      <c r="D80" s="1025"/>
      <c r="E80" s="1025"/>
      <c r="F80" s="1025"/>
      <c r="G80" s="1025"/>
      <c r="H80" s="1025"/>
      <c r="I80" s="1025"/>
      <c r="J80" s="1025"/>
      <c r="K80" s="1025"/>
      <c r="L80" s="1025"/>
      <c r="M80" s="1025"/>
      <c r="N80" s="1025"/>
      <c r="O80" s="1025"/>
      <c r="P80" s="1025"/>
      <c r="Q80" s="1025"/>
      <c r="R80" s="1025"/>
      <c r="S80" s="1025"/>
    </row>
    <row r="81" spans="1:19">
      <c r="A81" s="1033"/>
      <c r="B81" s="1017"/>
      <c r="C81" s="1025"/>
      <c r="D81" s="1031"/>
      <c r="E81" s="1031"/>
      <c r="F81" s="1031"/>
      <c r="G81" s="1031"/>
      <c r="H81" s="1031"/>
      <c r="I81" s="1031"/>
      <c r="J81" s="1031"/>
      <c r="K81" s="1031"/>
      <c r="L81" s="1031"/>
      <c r="M81" s="1025"/>
      <c r="N81" s="1025"/>
      <c r="O81" s="1025"/>
      <c r="P81" s="1025"/>
      <c r="Q81" s="1025"/>
      <c r="R81" s="1025"/>
      <c r="S81" s="1025"/>
    </row>
    <row r="82" spans="1:19">
      <c r="A82" s="1033">
        <f>+A80+1</f>
        <v>16</v>
      </c>
      <c r="B82" s="1014" t="s">
        <v>684</v>
      </c>
      <c r="C82" s="1025"/>
      <c r="D82" s="1031"/>
      <c r="E82" s="1031"/>
      <c r="F82" s="1031"/>
      <c r="G82" s="1031"/>
      <c r="H82" s="1031"/>
      <c r="I82" s="1031"/>
      <c r="J82" s="1031"/>
      <c r="K82" s="1031"/>
      <c r="L82" s="1031"/>
      <c r="M82" s="1025"/>
      <c r="N82" s="1025"/>
      <c r="O82" s="1025"/>
      <c r="P82" s="1025"/>
      <c r="Q82" s="1025"/>
      <c r="R82" s="1025"/>
      <c r="S82" s="1025"/>
    </row>
    <row r="83" spans="1:19">
      <c r="A83" s="1033"/>
      <c r="B83" s="1017"/>
      <c r="C83" s="1025"/>
      <c r="D83" s="1025"/>
      <c r="E83" s="1025"/>
      <c r="F83" s="1025"/>
      <c r="G83" s="1025"/>
      <c r="H83" s="1025"/>
      <c r="I83" s="1025"/>
      <c r="J83" s="1025"/>
      <c r="K83" s="1025"/>
      <c r="L83" s="1025"/>
      <c r="M83" s="1025"/>
      <c r="N83" s="1025"/>
      <c r="O83" s="1025"/>
      <c r="P83" s="1025"/>
      <c r="Q83" s="1025"/>
      <c r="R83" s="1025"/>
      <c r="S83" s="1025"/>
    </row>
    <row r="84" spans="1:19">
      <c r="A84" s="1033">
        <f>+A82+1</f>
        <v>17</v>
      </c>
      <c r="B84" s="1011" t="s">
        <v>685</v>
      </c>
      <c r="C84" s="1025"/>
      <c r="D84" s="1025"/>
      <c r="E84" s="1025"/>
      <c r="F84" s="1025"/>
      <c r="G84" s="1025"/>
      <c r="H84" s="1025"/>
      <c r="I84" s="1025"/>
      <c r="J84" s="1025"/>
      <c r="K84" s="1025"/>
      <c r="L84" s="1025"/>
      <c r="M84" s="1025"/>
      <c r="N84" s="1025"/>
      <c r="O84" s="1025"/>
      <c r="P84" s="1025"/>
      <c r="Q84" s="1025"/>
      <c r="R84" s="1025"/>
      <c r="S84" s="1025"/>
    </row>
    <row r="85" spans="1:19">
      <c r="A85" s="1033">
        <f>A84+1</f>
        <v>18</v>
      </c>
      <c r="B85" s="1011" t="s">
        <v>686</v>
      </c>
      <c r="C85" s="1025"/>
      <c r="D85" s="1025"/>
      <c r="E85" s="1025"/>
      <c r="F85" s="1025"/>
      <c r="G85" s="1025"/>
      <c r="H85" s="1025"/>
      <c r="I85" s="1025"/>
      <c r="J85" s="1025"/>
      <c r="K85" s="1025"/>
      <c r="L85" s="1025"/>
      <c r="M85" s="1025"/>
      <c r="N85" s="1025"/>
      <c r="O85" s="1025"/>
      <c r="P85" s="1025"/>
      <c r="Q85" s="1013"/>
      <c r="R85" s="1025"/>
      <c r="S85" s="1025"/>
    </row>
    <row r="86" spans="1:19">
      <c r="A86" s="1055">
        <f>A85+0.01</f>
        <v>18.010000000000002</v>
      </c>
      <c r="B86" s="1013"/>
      <c r="C86" s="1025">
        <f>SUM(M86:O86)</f>
        <v>0</v>
      </c>
      <c r="D86" s="1025">
        <f>SUM(Q86:S86)</f>
        <v>0</v>
      </c>
      <c r="E86" s="1025"/>
      <c r="F86" s="1025"/>
      <c r="G86" s="1025">
        <f>ROUND(SUM(C86:F86)/2,0)</f>
        <v>0</v>
      </c>
      <c r="H86" s="1025"/>
      <c r="I86" s="1025">
        <f t="shared" ref="I86:K87" si="25">(M86+Q86)/2</f>
        <v>0</v>
      </c>
      <c r="J86" s="1025">
        <f t="shared" si="25"/>
        <v>0</v>
      </c>
      <c r="K86" s="1025">
        <f t="shared" si="25"/>
        <v>0</v>
      </c>
      <c r="L86" s="1025"/>
      <c r="M86" s="1013"/>
      <c r="N86" s="1013"/>
      <c r="O86" s="1013"/>
      <c r="P86" s="1025"/>
      <c r="Q86" s="1013"/>
      <c r="R86" s="1013"/>
      <c r="S86" s="1013"/>
    </row>
    <row r="87" spans="1:19">
      <c r="A87" s="1055">
        <f>A86+0.01</f>
        <v>18.020000000000003</v>
      </c>
      <c r="B87" s="1013"/>
      <c r="C87" s="1025">
        <f>SUM(M87:O87)</f>
        <v>0</v>
      </c>
      <c r="D87" s="1025">
        <f>SUM(Q87:S87)</f>
        <v>0</v>
      </c>
      <c r="E87" s="1025"/>
      <c r="F87" s="1025"/>
      <c r="G87" s="1025">
        <f>ROUND(SUM(C87:F87)/2,0)</f>
        <v>0</v>
      </c>
      <c r="H87" s="1025"/>
      <c r="I87" s="1025">
        <f t="shared" si="25"/>
        <v>0</v>
      </c>
      <c r="J87" s="1025">
        <f t="shared" si="25"/>
        <v>0</v>
      </c>
      <c r="K87" s="1025">
        <f t="shared" si="25"/>
        <v>0</v>
      </c>
      <c r="L87" s="1025"/>
      <c r="M87" s="1013"/>
      <c r="N87" s="1013"/>
      <c r="O87" s="1013"/>
      <c r="P87" s="1025"/>
      <c r="Q87" s="1013"/>
      <c r="R87" s="1013"/>
      <c r="S87" s="1013"/>
    </row>
    <row r="88" spans="1:19">
      <c r="A88" s="1033">
        <f>INT(A87)+1</f>
        <v>19</v>
      </c>
      <c r="B88" s="1014"/>
      <c r="C88" s="1025"/>
      <c r="D88" s="1025"/>
      <c r="E88" s="1025"/>
      <c r="F88" s="1025"/>
      <c r="G88" s="1025"/>
      <c r="H88" s="1025"/>
      <c r="I88" s="1025"/>
      <c r="J88" s="1025"/>
      <c r="K88" s="1025"/>
      <c r="L88" s="1025"/>
      <c r="M88" s="1025"/>
      <c r="N88" s="1025"/>
      <c r="O88" s="1025"/>
      <c r="P88" s="1025"/>
      <c r="Q88" s="1025"/>
      <c r="R88" s="1025"/>
      <c r="S88" s="1025"/>
    </row>
    <row r="89" spans="1:19">
      <c r="A89" s="1033">
        <f>A88+1</f>
        <v>20</v>
      </c>
      <c r="B89" s="1011" t="s">
        <v>687</v>
      </c>
      <c r="C89" s="1027">
        <f>SUM(C86:C88)</f>
        <v>0</v>
      </c>
      <c r="D89" s="1027">
        <f>SUM(D86:D88)</f>
        <v>0</v>
      </c>
      <c r="E89" s="1027">
        <f>SUM(E86:E88)</f>
        <v>0</v>
      </c>
      <c r="F89" s="1027">
        <f>SUM(F86:F88)</f>
        <v>0</v>
      </c>
      <c r="G89" s="1027">
        <f>SUM(G86:G88)</f>
        <v>0</v>
      </c>
      <c r="H89" s="1025"/>
      <c r="I89" s="1027">
        <f>SUM(I86:I88)</f>
        <v>0</v>
      </c>
      <c r="J89" s="1027">
        <f>SUM(J86:J88)</f>
        <v>0</v>
      </c>
      <c r="K89" s="1027">
        <f>SUM(K86:K88)</f>
        <v>0</v>
      </c>
      <c r="L89" s="1025"/>
      <c r="M89" s="1027">
        <f>SUM(M86:M88)</f>
        <v>0</v>
      </c>
      <c r="N89" s="1027">
        <f>SUM(N86:N88)</f>
        <v>0</v>
      </c>
      <c r="O89" s="1027">
        <f>SUM(O86:O88)</f>
        <v>0</v>
      </c>
      <c r="P89" s="1025"/>
      <c r="Q89" s="1027">
        <f>SUM(Q86:Q88)</f>
        <v>0</v>
      </c>
      <c r="R89" s="1027">
        <f>SUM(R86:R88)</f>
        <v>0</v>
      </c>
      <c r="S89" s="1027">
        <f>SUM(S86:S88)</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7"/>
  <sheetViews>
    <sheetView view="pageBreakPreview" zoomScale="85" zoomScaleNormal="100" zoomScaleSheetLayoutView="85" workbookViewId="0">
      <selection activeCell="R26" sqref="R26"/>
    </sheetView>
  </sheetViews>
  <sheetFormatPr defaultRowHeight="12.75"/>
  <cols>
    <col min="1" max="1" width="6" style="1006" customWidth="1"/>
    <col min="2" max="2" width="54.5703125" style="1006" bestFit="1" customWidth="1"/>
    <col min="3" max="3" width="13.42578125" style="1006" bestFit="1" customWidth="1"/>
    <col min="4" max="4" width="12.85546875" style="1006" bestFit="1" customWidth="1"/>
    <col min="5" max="6" width="17" style="1006" customWidth="1"/>
    <col min="7" max="7" width="15.28515625" style="1006" bestFit="1" customWidth="1"/>
    <col min="8" max="8" width="9.140625" style="1006"/>
    <col min="9" max="9" width="13.140625" style="1006" bestFit="1" customWidth="1"/>
    <col min="10" max="10" width="15" style="1006" bestFit="1" customWidth="1"/>
    <col min="11" max="11" width="13.5703125" style="1006" bestFit="1" customWidth="1"/>
    <col min="12" max="12" width="9.140625" style="1006"/>
    <col min="13" max="13" width="13.140625" style="1006" bestFit="1" customWidth="1"/>
    <col min="14" max="14" width="15" style="1006" bestFit="1" customWidth="1"/>
    <col min="15" max="15" width="13.5703125" style="1006" bestFit="1" customWidth="1"/>
    <col min="16" max="16" width="9.140625" style="1006"/>
    <col min="17" max="17" width="13.140625" style="1006" bestFit="1" customWidth="1"/>
    <col min="18" max="18" width="15" style="1006" bestFit="1" customWidth="1"/>
    <col min="19" max="19" width="13.5703125" style="1006" bestFit="1" customWidth="1"/>
    <col min="20" max="16384" width="9.140625" style="1006"/>
  </cols>
  <sheetData>
    <row r="1" spans="1:19">
      <c r="A1" s="1034"/>
      <c r="B1" s="1054" t="str">
        <f>TCOS!F9</f>
        <v>AEP Indiana Michigan Transmission Company</v>
      </c>
      <c r="C1" s="1035"/>
      <c r="D1" s="1035"/>
      <c r="E1" s="1035"/>
      <c r="F1" s="1017"/>
      <c r="G1" s="1011"/>
      <c r="H1" s="1011"/>
      <c r="I1" s="1011"/>
      <c r="J1" s="1011"/>
      <c r="K1" s="1011"/>
      <c r="L1" s="1011"/>
      <c r="M1" s="1017"/>
      <c r="N1" s="1017"/>
      <c r="O1" s="1011"/>
      <c r="P1" s="1017"/>
      <c r="Q1" s="1017"/>
      <c r="R1" s="1017"/>
      <c r="S1" s="1011"/>
    </row>
    <row r="2" spans="1:19">
      <c r="A2" s="1034"/>
      <c r="B2" s="1016" t="s">
        <v>688</v>
      </c>
      <c r="C2" s="1035"/>
      <c r="D2" s="1035"/>
      <c r="E2" s="1035"/>
      <c r="F2" s="1035"/>
      <c r="G2" s="1010"/>
      <c r="H2" s="1010"/>
      <c r="I2" s="1010"/>
      <c r="J2" s="1010"/>
      <c r="K2" s="1010"/>
      <c r="L2" s="1010"/>
      <c r="M2" s="1017"/>
      <c r="N2" s="1017"/>
      <c r="O2" s="1010"/>
      <c r="P2" s="1017"/>
      <c r="Q2" s="1017"/>
      <c r="R2" s="1017"/>
      <c r="S2" s="1010"/>
    </row>
    <row r="3" spans="1:19">
      <c r="A3" s="1034"/>
      <c r="B3" s="1016" t="str">
        <f>"PERIOD ENDED DECEMBER 31, "&amp;TCOS!L4</f>
        <v>PERIOD ENDED DECEMBER 31, 2022</v>
      </c>
      <c r="C3" s="1035"/>
      <c r="D3" s="1035"/>
      <c r="E3" s="1035"/>
      <c r="F3" s="1035"/>
      <c r="G3" s="1035"/>
      <c r="H3" s="1035"/>
      <c r="I3" s="1035"/>
      <c r="J3" s="1035"/>
      <c r="K3" s="1035"/>
      <c r="L3" s="1035"/>
      <c r="M3" s="1017"/>
      <c r="N3" s="1017"/>
      <c r="O3" s="1017"/>
      <c r="P3" s="1017"/>
      <c r="Q3" s="1017"/>
      <c r="R3" s="1017"/>
      <c r="S3" s="1017"/>
    </row>
    <row r="4" spans="1:19">
      <c r="A4" s="1034"/>
      <c r="B4" s="1024"/>
      <c r="C4" s="1035"/>
      <c r="D4" s="1035"/>
      <c r="E4" s="1035"/>
      <c r="F4" s="1035"/>
      <c r="G4" s="1007" t="s">
        <v>689</v>
      </c>
      <c r="H4" s="1035"/>
      <c r="I4" s="1035"/>
      <c r="J4" s="1035"/>
      <c r="K4" s="1035"/>
      <c r="L4" s="1035"/>
      <c r="M4" s="1017"/>
      <c r="N4" s="1017"/>
      <c r="O4" s="1017"/>
      <c r="P4" s="1017"/>
      <c r="Q4" s="1017"/>
      <c r="R4" s="1017"/>
      <c r="S4" s="1017"/>
    </row>
    <row r="5" spans="1:19">
      <c r="A5" s="1034"/>
      <c r="B5" s="1018"/>
      <c r="C5" s="1035"/>
      <c r="D5" s="1035"/>
      <c r="E5" s="1035"/>
      <c r="F5" s="1035"/>
      <c r="G5" s="1035"/>
      <c r="H5" s="1035"/>
      <c r="I5" s="1035"/>
      <c r="J5" s="1035"/>
      <c r="K5" s="1035"/>
      <c r="L5" s="1035"/>
      <c r="M5" s="1017"/>
      <c r="N5" s="1017"/>
      <c r="O5" s="1017"/>
      <c r="P5" s="1017"/>
      <c r="Q5" s="1017"/>
      <c r="R5" s="1017"/>
      <c r="S5" s="1017"/>
    </row>
    <row r="6" spans="1:19">
      <c r="A6" s="1034"/>
      <c r="B6" s="1017"/>
      <c r="C6" s="1035"/>
      <c r="D6" s="1035"/>
      <c r="E6" s="1035"/>
      <c r="F6" s="1035"/>
      <c r="G6" s="1035"/>
      <c r="H6" s="1007"/>
      <c r="I6" s="1007"/>
      <c r="J6" s="1007"/>
      <c r="K6" s="1007"/>
      <c r="L6" s="1007"/>
      <c r="M6" s="1017"/>
      <c r="N6" s="1017"/>
      <c r="O6" s="1017"/>
      <c r="P6" s="1017"/>
      <c r="Q6" s="1017"/>
      <c r="R6" s="1017"/>
      <c r="S6" s="1017"/>
    </row>
    <row r="7" spans="1:19">
      <c r="A7" s="1034"/>
      <c r="B7" s="1017"/>
      <c r="C7" s="1035"/>
      <c r="D7" s="1035"/>
      <c r="E7" s="1035"/>
      <c r="F7" s="1035"/>
      <c r="G7" s="1035"/>
      <c r="H7" s="1035"/>
      <c r="I7" s="1035"/>
      <c r="J7" s="1035"/>
      <c r="K7" s="1035"/>
      <c r="L7" s="1035"/>
      <c r="M7" s="1017"/>
      <c r="N7" s="1017"/>
      <c r="O7" s="1017"/>
      <c r="P7" s="1017"/>
      <c r="Q7" s="1017"/>
      <c r="R7" s="1017"/>
      <c r="S7" s="1017"/>
    </row>
    <row r="8" spans="1:19">
      <c r="A8" s="1034"/>
      <c r="B8" s="1019" t="s">
        <v>645</v>
      </c>
      <c r="C8" s="1036" t="s">
        <v>646</v>
      </c>
      <c r="D8" s="1036" t="s">
        <v>647</v>
      </c>
      <c r="E8" s="1036" t="s">
        <v>648</v>
      </c>
      <c r="F8" s="1036" t="s">
        <v>649</v>
      </c>
      <c r="G8" s="1036" t="s">
        <v>650</v>
      </c>
      <c r="H8" s="1036"/>
      <c r="I8" s="1036" t="s">
        <v>651</v>
      </c>
      <c r="J8" s="1036" t="s">
        <v>652</v>
      </c>
      <c r="K8" s="1036" t="s">
        <v>653</v>
      </c>
      <c r="L8" s="1036"/>
      <c r="M8" s="1019" t="s">
        <v>654</v>
      </c>
      <c r="N8" s="1019" t="s">
        <v>655</v>
      </c>
      <c r="O8" s="1019" t="s">
        <v>656</v>
      </c>
      <c r="P8" s="1017"/>
      <c r="Q8" s="1019" t="s">
        <v>657</v>
      </c>
      <c r="R8" s="1019" t="s">
        <v>658</v>
      </c>
      <c r="S8" s="1019" t="s">
        <v>659</v>
      </c>
    </row>
    <row r="9" spans="1:19">
      <c r="A9" s="1034"/>
      <c r="B9" s="1017"/>
      <c r="C9" s="1035"/>
      <c r="D9" s="1035"/>
      <c r="E9" s="1035"/>
      <c r="F9" s="1035"/>
      <c r="G9" s="1035"/>
      <c r="H9" s="1035"/>
      <c r="I9" s="1035"/>
      <c r="J9" s="1035"/>
      <c r="K9" s="1035"/>
      <c r="L9" s="1035"/>
      <c r="M9" s="1017"/>
      <c r="N9" s="1017"/>
      <c r="O9" s="1017"/>
      <c r="P9" s="1017"/>
      <c r="Q9" s="1017"/>
      <c r="R9" s="1017"/>
      <c r="S9" s="1017"/>
    </row>
    <row r="10" spans="1:19">
      <c r="A10" s="1034"/>
      <c r="B10" s="1017"/>
      <c r="C10" s="1037" t="s">
        <v>660</v>
      </c>
      <c r="D10" s="1037"/>
      <c r="E10" s="1038" t="s">
        <v>661</v>
      </c>
      <c r="F10" s="1037"/>
      <c r="G10" s="1009" t="s">
        <v>662</v>
      </c>
      <c r="H10" s="1009"/>
      <c r="I10" s="1039" t="s">
        <v>663</v>
      </c>
      <c r="J10" s="1037"/>
      <c r="K10" s="1037"/>
      <c r="L10" s="1009"/>
      <c r="M10" s="1020" t="str">
        <f>"FUNCTIONALIZATION 12/31/"&amp;TCOS!L4-1</f>
        <v>FUNCTIONALIZATION 12/31/2021</v>
      </c>
      <c r="N10" s="1020"/>
      <c r="O10" s="1020"/>
      <c r="P10" s="1017"/>
      <c r="Q10" s="1020" t="str">
        <f>"FUNCTIONALIZATION 12/31/"&amp;TCOS!L4</f>
        <v>FUNCTIONALIZATION 12/31/2022</v>
      </c>
      <c r="R10" s="1020"/>
      <c r="S10" s="1020"/>
    </row>
    <row r="11" spans="1:19">
      <c r="A11" s="1034"/>
      <c r="B11" s="1017"/>
      <c r="C11" s="1040"/>
      <c r="D11" s="1040"/>
      <c r="E11" s="1035"/>
      <c r="F11" s="1035"/>
      <c r="G11" s="1009" t="s">
        <v>664</v>
      </c>
      <c r="H11" s="1009"/>
      <c r="I11" s="1040"/>
      <c r="J11" s="1040"/>
      <c r="K11" s="1040"/>
      <c r="L11" s="1009"/>
      <c r="M11" s="1023"/>
      <c r="N11" s="1023"/>
      <c r="O11" s="1023"/>
      <c r="P11" s="1017"/>
      <c r="Q11" s="1023"/>
      <c r="R11" s="1023"/>
      <c r="S11" s="1023"/>
    </row>
    <row r="12" spans="1:19">
      <c r="A12" s="1034"/>
      <c r="B12" s="1017"/>
      <c r="C12" s="1009" t="s">
        <v>665</v>
      </c>
      <c r="D12" s="1009" t="s">
        <v>665</v>
      </c>
      <c r="E12" s="1009" t="s">
        <v>665</v>
      </c>
      <c r="F12" s="1009" t="s">
        <v>665</v>
      </c>
      <c r="G12" s="1009" t="s">
        <v>666</v>
      </c>
      <c r="H12" s="1009"/>
      <c r="I12" s="1035"/>
      <c r="J12" s="1035"/>
      <c r="K12" s="1035"/>
      <c r="L12" s="1009"/>
      <c r="M12" s="1017"/>
      <c r="N12" s="1017"/>
      <c r="O12" s="1017"/>
      <c r="P12" s="1017"/>
      <c r="Q12" s="1017"/>
      <c r="R12" s="1017"/>
      <c r="S12" s="1017"/>
    </row>
    <row r="13" spans="1:19">
      <c r="A13" s="1034"/>
      <c r="B13" s="1019" t="s">
        <v>667</v>
      </c>
      <c r="C13" s="1036" t="str">
        <f>"OF 12-31-"&amp;TCOS!L4-1</f>
        <v>OF 12-31-2021</v>
      </c>
      <c r="D13" s="1036" t="str">
        <f>"OF 12-31-"&amp;TCOS!L4</f>
        <v>OF 12-31-2022</v>
      </c>
      <c r="E13" s="1036" t="str">
        <f>"OF 12-31-"&amp;TCOS!L4-1</f>
        <v>OF 12-31-2021</v>
      </c>
      <c r="F13" s="1036" t="str">
        <f>"OF 12-31-"&amp;TCOS!L4</f>
        <v>OF 12-31-2022</v>
      </c>
      <c r="G13" s="1036" t="s">
        <v>668</v>
      </c>
      <c r="H13" s="1036"/>
      <c r="I13" s="1036" t="s">
        <v>669</v>
      </c>
      <c r="J13" s="1036" t="s">
        <v>670</v>
      </c>
      <c r="K13" s="1036" t="s">
        <v>671</v>
      </c>
      <c r="L13" s="1036"/>
      <c r="M13" s="1019" t="s">
        <v>669</v>
      </c>
      <c r="N13" s="1019" t="s">
        <v>670</v>
      </c>
      <c r="O13" s="1019" t="s">
        <v>671</v>
      </c>
      <c r="P13" s="1017"/>
      <c r="Q13" s="1019" t="s">
        <v>669</v>
      </c>
      <c r="R13" s="1019" t="s">
        <v>670</v>
      </c>
      <c r="S13" s="1019" t="s">
        <v>671</v>
      </c>
    </row>
    <row r="14" spans="1:19">
      <c r="A14" s="1034"/>
      <c r="B14" s="1017"/>
      <c r="C14" s="1035"/>
      <c r="D14" s="1035"/>
      <c r="E14" s="1035"/>
      <c r="F14" s="1035"/>
      <c r="G14" s="1035"/>
      <c r="H14" s="1035"/>
      <c r="I14" s="1035"/>
      <c r="J14" s="1035"/>
      <c r="K14" s="1035"/>
      <c r="L14" s="1035"/>
      <c r="M14" s="1017"/>
      <c r="N14" s="1017"/>
      <c r="O14" s="1017"/>
      <c r="P14" s="1017"/>
      <c r="Q14" s="1017"/>
      <c r="R14" s="1017"/>
      <c r="S14" s="1017"/>
    </row>
    <row r="15" spans="1:19">
      <c r="A15" s="1041">
        <v>1</v>
      </c>
      <c r="B15" s="1029" t="s">
        <v>690</v>
      </c>
      <c r="C15" s="1025"/>
      <c r="D15" s="1025"/>
      <c r="E15" s="1025"/>
      <c r="F15" s="1026"/>
      <c r="G15" s="1025"/>
      <c r="H15" s="1025"/>
      <c r="I15" s="1025"/>
      <c r="J15" s="1025"/>
      <c r="K15" s="1025"/>
      <c r="L15" s="1025"/>
      <c r="M15" s="1025"/>
      <c r="N15" s="1025"/>
      <c r="O15" s="1025"/>
      <c r="P15" s="1025"/>
      <c r="Q15" s="1025"/>
      <c r="R15" s="1025"/>
      <c r="S15" s="1025"/>
    </row>
    <row r="16" spans="1:19">
      <c r="A16" s="1041"/>
      <c r="B16" s="1025"/>
      <c r="C16" s="1025"/>
      <c r="D16" s="1025"/>
      <c r="E16" s="1025"/>
      <c r="F16" s="1025"/>
      <c r="G16" s="1025"/>
      <c r="H16" s="1025"/>
      <c r="I16" s="1025"/>
      <c r="J16" s="1025"/>
      <c r="K16" s="1025"/>
      <c r="L16" s="1025"/>
      <c r="M16" s="1025"/>
      <c r="N16" s="1025"/>
      <c r="O16" s="1025"/>
      <c r="P16" s="1025"/>
      <c r="Q16" s="1025"/>
      <c r="R16" s="1025"/>
      <c r="S16" s="1025"/>
    </row>
    <row r="17" spans="1:19">
      <c r="A17" s="1047">
        <v>2.0099999999999998</v>
      </c>
      <c r="B17" s="1013" t="s">
        <v>858</v>
      </c>
      <c r="C17" s="1025">
        <f t="shared" ref="C17:C25" si="0">SUM(M17:O17)</f>
        <v>18004.86</v>
      </c>
      <c r="D17" s="1025">
        <f t="shared" ref="D17:D25" si="1">SUM(Q17:S17)</f>
        <v>50120.85</v>
      </c>
      <c r="E17" s="1025"/>
      <c r="F17" s="1025"/>
      <c r="G17" s="1025">
        <f t="shared" ref="G17:G25" si="2">ROUND(SUM(C17:F17)/2,0)</f>
        <v>34063</v>
      </c>
      <c r="H17" s="1025"/>
      <c r="I17" s="1025">
        <f t="shared" ref="I17:K26" si="3">(M17+Q17)/2</f>
        <v>0</v>
      </c>
      <c r="J17" s="1025">
        <f t="shared" si="3"/>
        <v>34062.854999999996</v>
      </c>
      <c r="K17" s="1025">
        <f t="shared" si="3"/>
        <v>0</v>
      </c>
      <c r="L17" s="1025"/>
      <c r="M17" s="1013"/>
      <c r="N17" s="1013">
        <v>18004.86</v>
      </c>
      <c r="O17" s="1013"/>
      <c r="P17" s="1025"/>
      <c r="Q17" s="1013"/>
      <c r="R17" s="1013">
        <v>50120.85</v>
      </c>
      <c r="S17" s="1013"/>
    </row>
    <row r="18" spans="1:19">
      <c r="A18" s="1047">
        <f>A17+0.01</f>
        <v>2.0199999999999996</v>
      </c>
      <c r="B18" s="1013" t="s">
        <v>952</v>
      </c>
      <c r="C18" s="1025">
        <f t="shared" si="0"/>
        <v>-4998.5200000000004</v>
      </c>
      <c r="D18" s="1025">
        <f t="shared" si="1"/>
        <v>56191.22</v>
      </c>
      <c r="E18" s="1025"/>
      <c r="F18" s="1025"/>
      <c r="G18" s="1025">
        <f t="shared" si="2"/>
        <v>25596</v>
      </c>
      <c r="H18" s="1025"/>
      <c r="I18" s="1025">
        <f t="shared" si="3"/>
        <v>0</v>
      </c>
      <c r="J18" s="1025">
        <f t="shared" si="3"/>
        <v>25596.35</v>
      </c>
      <c r="K18" s="1025">
        <f t="shared" si="3"/>
        <v>0</v>
      </c>
      <c r="L18" s="1025"/>
      <c r="M18" s="1013"/>
      <c r="N18" s="1013">
        <v>-4998.5200000000004</v>
      </c>
      <c r="O18" s="1013"/>
      <c r="P18" s="1025"/>
      <c r="Q18" s="1013"/>
      <c r="R18" s="1013">
        <v>56191.22</v>
      </c>
      <c r="S18" s="1013"/>
    </row>
    <row r="19" spans="1:19">
      <c r="A19" s="1047">
        <f t="shared" ref="A19:A33" si="4">A18+0.01</f>
        <v>2.0299999999999994</v>
      </c>
      <c r="B19" s="1013" t="s">
        <v>860</v>
      </c>
      <c r="C19" s="1025">
        <f t="shared" si="0"/>
        <v>1715499.41</v>
      </c>
      <c r="D19" s="1025">
        <f t="shared" si="1"/>
        <v>1767999.41</v>
      </c>
      <c r="E19" s="1025"/>
      <c r="F19" s="1025"/>
      <c r="G19" s="1025">
        <f t="shared" si="2"/>
        <v>1741749</v>
      </c>
      <c r="H19" s="1025"/>
      <c r="I19" s="1025">
        <f t="shared" si="3"/>
        <v>0</v>
      </c>
      <c r="J19" s="1025">
        <f t="shared" si="3"/>
        <v>1741749.41</v>
      </c>
      <c r="K19" s="1025">
        <f t="shared" si="3"/>
        <v>0</v>
      </c>
      <c r="L19" s="1025"/>
      <c r="M19" s="1013"/>
      <c r="N19" s="1013">
        <v>1715499.41</v>
      </c>
      <c r="O19" s="1013"/>
      <c r="P19" s="1025"/>
      <c r="Q19" s="1013"/>
      <c r="R19" s="1013">
        <v>1767999.41</v>
      </c>
      <c r="S19" s="1013"/>
    </row>
    <row r="20" spans="1:19">
      <c r="A20" s="1047">
        <f t="shared" si="4"/>
        <v>2.0399999999999991</v>
      </c>
      <c r="B20" s="1013" t="s">
        <v>861</v>
      </c>
      <c r="C20" s="1025">
        <f t="shared" si="0"/>
        <v>247660.63</v>
      </c>
      <c r="D20" s="1025">
        <f t="shared" si="1"/>
        <v>1625065.17</v>
      </c>
      <c r="E20" s="1025"/>
      <c r="F20" s="1025"/>
      <c r="G20" s="1025">
        <f t="shared" si="2"/>
        <v>936363</v>
      </c>
      <c r="H20" s="1025"/>
      <c r="I20" s="1025">
        <f t="shared" si="3"/>
        <v>0</v>
      </c>
      <c r="J20" s="1025">
        <f t="shared" si="3"/>
        <v>936362.89999999991</v>
      </c>
      <c r="K20" s="1025">
        <f t="shared" si="3"/>
        <v>0</v>
      </c>
      <c r="L20" s="1025"/>
      <c r="M20" s="1013"/>
      <c r="N20" s="1013">
        <v>247660.63</v>
      </c>
      <c r="O20" s="1013"/>
      <c r="P20" s="1025"/>
      <c r="Q20" s="1013"/>
      <c r="R20" s="1013">
        <v>1625065.17</v>
      </c>
      <c r="S20" s="1013"/>
    </row>
    <row r="21" spans="1:19">
      <c r="A21" s="1047">
        <f t="shared" si="4"/>
        <v>2.0499999999999989</v>
      </c>
      <c r="B21" s="1013" t="s">
        <v>862</v>
      </c>
      <c r="C21" s="1025">
        <f t="shared" si="0"/>
        <v>407951.76</v>
      </c>
      <c r="D21" s="1025">
        <f t="shared" si="1"/>
        <v>407951.76</v>
      </c>
      <c r="E21" s="1025"/>
      <c r="F21" s="1025"/>
      <c r="G21" s="1025">
        <f t="shared" si="2"/>
        <v>407952</v>
      </c>
      <c r="H21" s="1025"/>
      <c r="I21" s="1025">
        <f t="shared" si="3"/>
        <v>0</v>
      </c>
      <c r="J21" s="1025">
        <f t="shared" si="3"/>
        <v>407951.76</v>
      </c>
      <c r="K21" s="1025">
        <f t="shared" si="3"/>
        <v>0</v>
      </c>
      <c r="L21" s="1025"/>
      <c r="M21" s="1013"/>
      <c r="N21" s="1013">
        <v>407951.76</v>
      </c>
      <c r="O21" s="1013"/>
      <c r="P21" s="1025"/>
      <c r="Q21" s="1013"/>
      <c r="R21" s="1013">
        <v>407951.76</v>
      </c>
      <c r="S21" s="1013"/>
    </row>
    <row r="22" spans="1:19">
      <c r="A22" s="1047">
        <f t="shared" si="4"/>
        <v>2.0599999999999987</v>
      </c>
      <c r="B22" s="1013" t="s">
        <v>951</v>
      </c>
      <c r="C22" s="1025">
        <f t="shared" si="0"/>
        <v>-73937.95</v>
      </c>
      <c r="D22" s="1025">
        <f t="shared" si="1"/>
        <v>-85501.45</v>
      </c>
      <c r="E22" s="1025"/>
      <c r="F22" s="1025"/>
      <c r="G22" s="1025">
        <f t="shared" si="2"/>
        <v>-79720</v>
      </c>
      <c r="H22" s="1025"/>
      <c r="I22" s="1025">
        <f t="shared" si="3"/>
        <v>0</v>
      </c>
      <c r="J22" s="1025">
        <f t="shared" si="3"/>
        <v>-79719.7</v>
      </c>
      <c r="K22" s="1025">
        <f t="shared" si="3"/>
        <v>0</v>
      </c>
      <c r="L22" s="1025"/>
      <c r="M22" s="1013"/>
      <c r="N22" s="1013">
        <v>-73937.95</v>
      </c>
      <c r="O22" s="1013"/>
      <c r="P22" s="1025"/>
      <c r="Q22" s="1013"/>
      <c r="R22" s="1013">
        <v>-85501.45</v>
      </c>
      <c r="S22" s="1013"/>
    </row>
    <row r="23" spans="1:19">
      <c r="A23" s="1047">
        <f t="shared" si="4"/>
        <v>2.0699999999999985</v>
      </c>
      <c r="B23" s="1013" t="s">
        <v>891</v>
      </c>
      <c r="C23" s="1025">
        <f>SUM(M23:O23)</f>
        <v>-3.78</v>
      </c>
      <c r="D23" s="1025">
        <f>SUM(Q23:S23)</f>
        <v>-3.78</v>
      </c>
      <c r="E23" s="1025"/>
      <c r="F23" s="1025"/>
      <c r="G23" s="1025">
        <f>ROUND(SUM(C23:F23)/2,0)</f>
        <v>-4</v>
      </c>
      <c r="H23" s="1025"/>
      <c r="I23" s="1025">
        <f>(M23+Q23)/2</f>
        <v>0</v>
      </c>
      <c r="J23" s="1025">
        <f>(N23+R23)/2</f>
        <v>-3.78</v>
      </c>
      <c r="K23" s="1025">
        <f>(O23+S23)/2</f>
        <v>0</v>
      </c>
      <c r="L23" s="1025"/>
      <c r="M23" s="1013"/>
      <c r="N23" s="1013">
        <v>-3.78</v>
      </c>
      <c r="O23" s="1013"/>
      <c r="P23" s="1025"/>
      <c r="Q23" s="1013"/>
      <c r="R23" s="1013">
        <v>-3.78</v>
      </c>
      <c r="S23" s="1013"/>
    </row>
    <row r="24" spans="1:19">
      <c r="A24" s="1047">
        <f t="shared" si="4"/>
        <v>2.0799999999999983</v>
      </c>
      <c r="B24" s="1013" t="s">
        <v>679</v>
      </c>
      <c r="C24" s="1025">
        <f t="shared" si="0"/>
        <v>8977931.8200000003</v>
      </c>
      <c r="D24" s="1025">
        <f t="shared" si="1"/>
        <v>10595692.859999999</v>
      </c>
      <c r="E24" s="1025"/>
      <c r="F24" s="1025"/>
      <c r="G24" s="1025">
        <f t="shared" si="2"/>
        <v>9786812</v>
      </c>
      <c r="H24" s="1025"/>
      <c r="I24" s="1025">
        <f t="shared" si="3"/>
        <v>0</v>
      </c>
      <c r="J24" s="1025">
        <f t="shared" si="3"/>
        <v>9786812.3399999999</v>
      </c>
      <c r="K24" s="1025">
        <f t="shared" si="3"/>
        <v>0</v>
      </c>
      <c r="L24" s="1025"/>
      <c r="M24" s="1013"/>
      <c r="N24" s="1013">
        <v>8977931.8200000003</v>
      </c>
      <c r="O24" s="1013"/>
      <c r="P24" s="1025"/>
      <c r="Q24" s="1013"/>
      <c r="R24" s="1013">
        <v>10595692.859999999</v>
      </c>
      <c r="S24" s="1013"/>
    </row>
    <row r="25" spans="1:19">
      <c r="A25" s="1047">
        <f t="shared" si="4"/>
        <v>2.0899999999999981</v>
      </c>
      <c r="B25" s="1013" t="s">
        <v>1038</v>
      </c>
      <c r="C25" s="1025">
        <f t="shared" si="0"/>
        <v>0</v>
      </c>
      <c r="D25" s="1025">
        <f t="shared" si="1"/>
        <v>-0.03</v>
      </c>
      <c r="E25" s="1025"/>
      <c r="F25" s="1025"/>
      <c r="G25" s="1025">
        <f t="shared" si="2"/>
        <v>0</v>
      </c>
      <c r="H25" s="1025"/>
      <c r="I25" s="1025">
        <f t="shared" si="3"/>
        <v>0</v>
      </c>
      <c r="J25" s="1025">
        <f t="shared" si="3"/>
        <v>-1.4999999999999999E-2</v>
      </c>
      <c r="K25" s="1025">
        <f t="shared" si="3"/>
        <v>0</v>
      </c>
      <c r="L25" s="1025"/>
      <c r="M25" s="1013"/>
      <c r="N25" s="1013">
        <v>0</v>
      </c>
      <c r="O25" s="1013"/>
      <c r="P25" s="1025"/>
      <c r="Q25" s="1013"/>
      <c r="R25" s="1013">
        <v>-0.03</v>
      </c>
      <c r="S25" s="1013"/>
    </row>
    <row r="26" spans="1:19">
      <c r="A26" s="1047">
        <f t="shared" si="4"/>
        <v>2.0999999999999979</v>
      </c>
      <c r="B26" s="1403" t="s">
        <v>962</v>
      </c>
      <c r="C26" s="1403">
        <f t="shared" ref="C26" si="5">SUM(M26:O26)</f>
        <v>85354968.372713804</v>
      </c>
      <c r="D26" s="1403">
        <f t="shared" ref="D26" si="6">SUM(Q26:S26)</f>
        <v>58979040.61691381</v>
      </c>
      <c r="E26" s="1404"/>
      <c r="F26" s="1404"/>
      <c r="G26" s="1405">
        <f t="shared" ref="G26:G27" si="7">ROUND(SUM(C26:F26)/2,0)</f>
        <v>72167004</v>
      </c>
      <c r="H26" s="1405"/>
      <c r="I26" s="1405">
        <f t="shared" si="3"/>
        <v>0</v>
      </c>
      <c r="J26" s="1405">
        <f t="shared" si="3"/>
        <v>72167004.4948138</v>
      </c>
      <c r="K26" s="1405">
        <f t="shared" si="3"/>
        <v>0</v>
      </c>
      <c r="L26" s="1025"/>
      <c r="M26" s="1013"/>
      <c r="N26" s="1013">
        <v>85354968.372713804</v>
      </c>
      <c r="O26" s="1013"/>
      <c r="P26" s="1025"/>
      <c r="Q26" s="1013"/>
      <c r="R26" s="1013">
        <v>58979040.61691381</v>
      </c>
      <c r="S26" s="1013"/>
    </row>
    <row r="27" spans="1:19">
      <c r="A27" s="1047">
        <f t="shared" si="4"/>
        <v>2.1099999999999977</v>
      </c>
      <c r="B27" s="1403" t="s">
        <v>963</v>
      </c>
      <c r="C27" s="1403">
        <f>-E27</f>
        <v>-85354968.372713804</v>
      </c>
      <c r="D27" s="1403">
        <f>-F27</f>
        <v>-58979040.61691381</v>
      </c>
      <c r="E27" s="1404">
        <f>C26</f>
        <v>85354968.372713804</v>
      </c>
      <c r="F27" s="1404">
        <f>D26</f>
        <v>58979040.61691381</v>
      </c>
      <c r="G27" s="1405">
        <f t="shared" si="7"/>
        <v>0</v>
      </c>
      <c r="H27" s="1405"/>
      <c r="I27" s="1405"/>
      <c r="J27" s="1405"/>
      <c r="K27" s="1405"/>
      <c r="L27" s="1025"/>
      <c r="M27" s="1013"/>
      <c r="N27" s="1013"/>
      <c r="O27" s="1013"/>
      <c r="P27" s="1025"/>
      <c r="Q27" s="1013"/>
      <c r="R27" s="1013"/>
      <c r="S27" s="1013"/>
    </row>
    <row r="28" spans="1:19">
      <c r="A28" s="1047">
        <f t="shared" si="4"/>
        <v>2.1199999999999974</v>
      </c>
      <c r="B28" s="1013" t="s">
        <v>863</v>
      </c>
      <c r="C28" s="1013">
        <f t="shared" ref="C28:D33" si="8">-E28</f>
        <v>307170.92</v>
      </c>
      <c r="D28" s="1013">
        <f t="shared" si="8"/>
        <v>174767.81</v>
      </c>
      <c r="E28" s="1025">
        <v>-307170.92</v>
      </c>
      <c r="F28" s="1025">
        <v>-174767.81</v>
      </c>
      <c r="G28" s="1025">
        <f t="shared" ref="G28:G33" si="9">ROUND(SUM(C28:F28)/2,0)</f>
        <v>0</v>
      </c>
      <c r="H28" s="1025"/>
      <c r="I28" s="1025"/>
      <c r="J28" s="1025"/>
      <c r="K28" s="1025"/>
      <c r="L28" s="1025"/>
      <c r="M28" s="1025"/>
      <c r="N28" s="1025"/>
      <c r="O28" s="1025"/>
      <c r="P28" s="1025"/>
      <c r="Q28" s="1025"/>
      <c r="R28" s="1025"/>
      <c r="S28" s="1025"/>
    </row>
    <row r="29" spans="1:19">
      <c r="A29" s="1047">
        <f t="shared" si="4"/>
        <v>2.1299999999999972</v>
      </c>
      <c r="B29" s="1013" t="s">
        <v>864</v>
      </c>
      <c r="C29" s="1013">
        <f t="shared" si="8"/>
        <v>0.01</v>
      </c>
      <c r="D29" s="1013">
        <f t="shared" si="8"/>
        <v>0.01</v>
      </c>
      <c r="E29" s="1025">
        <v>-0.01</v>
      </c>
      <c r="F29" s="1025">
        <v>-0.01</v>
      </c>
      <c r="G29" s="1025">
        <f t="shared" si="9"/>
        <v>0</v>
      </c>
      <c r="H29" s="1025"/>
      <c r="I29" s="1025"/>
      <c r="J29" s="1025"/>
      <c r="K29" s="1025"/>
      <c r="L29" s="1025"/>
      <c r="M29" s="1025"/>
      <c r="N29" s="1025"/>
      <c r="O29" s="1025"/>
      <c r="P29" s="1025"/>
      <c r="Q29" s="1025"/>
      <c r="R29" s="1025"/>
      <c r="S29" s="1025"/>
    </row>
    <row r="30" spans="1:19">
      <c r="A30" s="1047">
        <f t="shared" si="4"/>
        <v>2.139999999999997</v>
      </c>
      <c r="B30" s="1013" t="s">
        <v>865</v>
      </c>
      <c r="C30" s="1013">
        <f t="shared" si="8"/>
        <v>33380267.039999999</v>
      </c>
      <c r="D30" s="1013">
        <f t="shared" si="8"/>
        <v>32562347.969999999</v>
      </c>
      <c r="E30" s="1025">
        <v>-33380267.039999999</v>
      </c>
      <c r="F30" s="1025">
        <v>-32562347.969999999</v>
      </c>
      <c r="G30" s="1025">
        <f t="shared" si="9"/>
        <v>0</v>
      </c>
      <c r="H30" s="1025"/>
      <c r="I30" s="1025"/>
      <c r="J30" s="1025"/>
      <c r="K30" s="1025"/>
      <c r="L30" s="1025"/>
      <c r="M30" s="1025"/>
      <c r="N30" s="1025"/>
      <c r="O30" s="1025"/>
      <c r="P30" s="1025"/>
      <c r="Q30" s="1025"/>
      <c r="R30" s="1025"/>
      <c r="S30" s="1025"/>
    </row>
    <row r="31" spans="1:19">
      <c r="A31" s="1047">
        <f t="shared" si="4"/>
        <v>2.1499999999999968</v>
      </c>
      <c r="B31" s="1013" t="s">
        <v>866</v>
      </c>
      <c r="C31" s="1013">
        <f t="shared" si="8"/>
        <v>0</v>
      </c>
      <c r="D31" s="1013">
        <f t="shared" si="8"/>
        <v>0</v>
      </c>
      <c r="E31" s="1025">
        <v>0</v>
      </c>
      <c r="F31" s="1025">
        <v>0</v>
      </c>
      <c r="G31" s="1025">
        <f t="shared" si="9"/>
        <v>0</v>
      </c>
      <c r="H31" s="1025"/>
      <c r="I31" s="1025"/>
      <c r="J31" s="1025"/>
      <c r="K31" s="1025"/>
      <c r="L31" s="1025"/>
      <c r="M31" s="1025"/>
      <c r="N31" s="1025"/>
      <c r="O31" s="1025"/>
      <c r="P31" s="1025"/>
      <c r="Q31" s="1025"/>
      <c r="R31" s="1025"/>
      <c r="S31" s="1025"/>
    </row>
    <row r="32" spans="1:19">
      <c r="A32" s="1047">
        <f t="shared" si="4"/>
        <v>2.1599999999999966</v>
      </c>
      <c r="B32" s="1013" t="s">
        <v>867</v>
      </c>
      <c r="C32" s="1013">
        <f t="shared" si="8"/>
        <v>0</v>
      </c>
      <c r="D32" s="1013">
        <f t="shared" si="8"/>
        <v>0</v>
      </c>
      <c r="E32" s="1025">
        <v>0</v>
      </c>
      <c r="F32" s="1025">
        <v>0</v>
      </c>
      <c r="G32" s="1025">
        <f t="shared" si="9"/>
        <v>0</v>
      </c>
      <c r="H32" s="1025"/>
      <c r="I32" s="1025"/>
      <c r="J32" s="1025"/>
      <c r="K32" s="1025"/>
      <c r="L32" s="1025"/>
      <c r="M32" s="1025"/>
      <c r="N32" s="1025"/>
      <c r="O32" s="1025"/>
      <c r="P32" s="1025"/>
      <c r="Q32" s="1025"/>
      <c r="R32" s="1025"/>
      <c r="S32" s="1025"/>
    </row>
    <row r="33" spans="1:256">
      <c r="A33" s="1047">
        <f t="shared" si="4"/>
        <v>2.1699999999999964</v>
      </c>
      <c r="B33" s="1013" t="s">
        <v>868</v>
      </c>
      <c r="C33" s="1013">
        <f t="shared" si="8"/>
        <v>0</v>
      </c>
      <c r="D33" s="1013">
        <f t="shared" si="8"/>
        <v>0</v>
      </c>
      <c r="E33" s="1025">
        <v>0</v>
      </c>
      <c r="F33" s="1025">
        <v>0</v>
      </c>
      <c r="G33" s="1025">
        <f t="shared" si="9"/>
        <v>0</v>
      </c>
      <c r="H33" s="1025"/>
      <c r="I33" s="1025"/>
      <c r="J33" s="1025"/>
      <c r="K33" s="1025"/>
      <c r="L33" s="1025"/>
      <c r="M33" s="1025"/>
      <c r="N33" s="1025"/>
      <c r="O33" s="1025"/>
      <c r="P33" s="1025"/>
      <c r="Q33" s="1025"/>
      <c r="R33" s="1025"/>
      <c r="S33" s="1025"/>
    </row>
    <row r="34" spans="1:256">
      <c r="A34" s="1041"/>
      <c r="B34" s="1025"/>
      <c r="C34" s="1025"/>
      <c r="D34" s="1025"/>
      <c r="E34" s="1025"/>
      <c r="F34" s="1025"/>
      <c r="G34" s="1025"/>
      <c r="H34" s="1025"/>
      <c r="I34" s="1025"/>
      <c r="J34" s="1025"/>
      <c r="K34" s="1025"/>
      <c r="L34" s="1025"/>
      <c r="M34" s="1025"/>
      <c r="N34" s="1025"/>
      <c r="O34" s="1025"/>
      <c r="P34" s="1025"/>
      <c r="Q34" s="1025"/>
      <c r="R34" s="1025"/>
      <c r="S34" s="1025"/>
    </row>
    <row r="35" spans="1:256" ht="13.5" thickBot="1">
      <c r="A35" s="1008">
        <v>3</v>
      </c>
      <c r="B35" s="1029" t="s">
        <v>691</v>
      </c>
      <c r="C35" s="1042">
        <f>SUM(C17:C34)</f>
        <v>44975546.200000003</v>
      </c>
      <c r="D35" s="1042">
        <f>SUM(D17:D34)</f>
        <v>47154631.800000004</v>
      </c>
      <c r="E35" s="1042">
        <f>SUM(E17:E34)</f>
        <v>51667530.402713798</v>
      </c>
      <c r="F35" s="1042">
        <f>SUM(F17:F34)</f>
        <v>26241924.826913811</v>
      </c>
      <c r="G35" s="1042">
        <f>SUM(G17:G34)</f>
        <v>85019815</v>
      </c>
      <c r="H35" s="1025"/>
      <c r="I35" s="1042">
        <f>SUM(I17:I34)</f>
        <v>0</v>
      </c>
      <c r="J35" s="1042">
        <f>SUM(J17:J34)</f>
        <v>85019816.614813805</v>
      </c>
      <c r="K35" s="1042">
        <f>SUM(K17:K34)</f>
        <v>0</v>
      </c>
      <c r="L35" s="1025"/>
      <c r="M35" s="1042">
        <f>SUM(M17:M34)</f>
        <v>0</v>
      </c>
      <c r="N35" s="1042">
        <f>SUM(N17:N34)</f>
        <v>96643076.602713808</v>
      </c>
      <c r="O35" s="1042">
        <f>SUM(O17:O34)</f>
        <v>0</v>
      </c>
      <c r="P35" s="1025"/>
      <c r="Q35" s="1042">
        <f>SUM(Q17:Q34)</f>
        <v>0</v>
      </c>
      <c r="R35" s="1042">
        <f>SUM(R17:R34)</f>
        <v>73396556.626913816</v>
      </c>
      <c r="S35" s="1042">
        <f>SUM(S17:S34)</f>
        <v>0</v>
      </c>
    </row>
    <row r="36" spans="1:256" s="1155" customFormat="1" ht="13.5" thickTop="1">
      <c r="A36" s="1009">
        <v>4</v>
      </c>
      <c r="B36" s="1017" t="s">
        <v>692</v>
      </c>
      <c r="C36" s="1233">
        <v>0</v>
      </c>
      <c r="D36" s="1233">
        <v>0</v>
      </c>
      <c r="E36" s="1233">
        <v>0</v>
      </c>
      <c r="F36" s="1233">
        <v>0</v>
      </c>
      <c r="G36" s="1233">
        <v>0</v>
      </c>
      <c r="I36" s="1233">
        <v>0</v>
      </c>
      <c r="J36" s="1233">
        <v>0</v>
      </c>
      <c r="K36" s="1233">
        <v>0</v>
      </c>
      <c r="M36" s="1233">
        <v>0</v>
      </c>
      <c r="N36" s="1233">
        <v>0</v>
      </c>
      <c r="O36" s="1233">
        <v>0</v>
      </c>
      <c r="Q36" s="1233">
        <v>0</v>
      </c>
      <c r="R36" s="1233">
        <v>0</v>
      </c>
      <c r="S36" s="1233">
        <v>0</v>
      </c>
      <c r="IV36" s="1233"/>
    </row>
    <row r="37" spans="1:256">
      <c r="I37" s="1043"/>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7"/>
  <sheetViews>
    <sheetView workbookViewId="0">
      <selection activeCell="I13" sqref="I13:J27"/>
    </sheetView>
  </sheetViews>
  <sheetFormatPr defaultColWidth="10" defaultRowHeight="12"/>
  <cols>
    <col min="1" max="1" width="9.42578125" style="1337" customWidth="1"/>
    <col min="2" max="2" width="20.85546875" style="1338" customWidth="1"/>
    <col min="3" max="3" width="35.5703125" style="1337" customWidth="1"/>
    <col min="4" max="4" width="12.85546875" style="1337" customWidth="1"/>
    <col min="5" max="5" width="10.42578125" style="1337" customWidth="1"/>
    <col min="6" max="6" width="16.42578125" style="1337" customWidth="1"/>
    <col min="7" max="7" width="12" style="1337" customWidth="1"/>
    <col min="8" max="8" width="14.28515625" style="1337" bestFit="1" customWidth="1"/>
    <col min="9" max="9" width="18.85546875" style="1337" customWidth="1"/>
    <col min="10" max="10" width="15.5703125" style="1337" customWidth="1"/>
    <col min="11" max="11" width="16.140625" style="1337" customWidth="1"/>
    <col min="12" max="13" width="15" style="1337" customWidth="1"/>
    <col min="14" max="14" width="13.5703125" style="1337" customWidth="1"/>
    <col min="15" max="15" width="15" style="1337" customWidth="1"/>
    <col min="16" max="17" width="17.5703125" style="1337" customWidth="1"/>
    <col min="18" max="18" width="33" style="1337" customWidth="1"/>
    <col min="19" max="19" width="15" style="1337" customWidth="1"/>
    <col min="20" max="21" width="14.5703125" style="1337" bestFit="1" customWidth="1"/>
    <col min="22" max="22" width="10.5703125" style="1337" bestFit="1" customWidth="1"/>
    <col min="23" max="16384" width="10" style="1337"/>
  </cols>
  <sheetData>
    <row r="1" spans="1:23" ht="12.75">
      <c r="A1" s="1337" t="s">
        <v>892</v>
      </c>
      <c r="R1" s="1339"/>
    </row>
    <row r="2" spans="1:23" ht="12.75">
      <c r="A2" s="1455" t="s">
        <v>982</v>
      </c>
      <c r="R2" s="1339"/>
      <c r="V2" s="1340"/>
    </row>
    <row r="3" spans="1:23" ht="12.75">
      <c r="A3" s="1455" t="s">
        <v>1025</v>
      </c>
      <c r="R3" s="1339"/>
      <c r="V3" s="1341"/>
    </row>
    <row r="4" spans="1:23">
      <c r="A4" s="1455" t="s">
        <v>1016</v>
      </c>
      <c r="G4" s="1342"/>
    </row>
    <row r="5" spans="1:23">
      <c r="A5" s="1455" t="s">
        <v>893</v>
      </c>
      <c r="I5" s="1343"/>
      <c r="J5" s="1343"/>
      <c r="P5" s="1343"/>
      <c r="Q5" s="1343"/>
    </row>
    <row r="6" spans="1:23">
      <c r="J6" s="1343"/>
      <c r="K6" s="1344"/>
      <c r="L6" s="1338"/>
      <c r="M6" s="1338"/>
      <c r="N6" s="1338"/>
      <c r="O6" s="1338"/>
      <c r="P6" s="1338"/>
      <c r="Q6" s="1338"/>
    </row>
    <row r="7" spans="1:23">
      <c r="B7" s="1345"/>
      <c r="C7" s="1345"/>
      <c r="D7" s="1345"/>
      <c r="E7" s="1345"/>
      <c r="F7" s="1345"/>
      <c r="G7" s="1345"/>
      <c r="H7" s="1345"/>
      <c r="I7" s="1345"/>
      <c r="J7" s="1345"/>
      <c r="K7" s="1345"/>
      <c r="L7" s="1345"/>
      <c r="M7" s="1345"/>
      <c r="N7" s="1345"/>
      <c r="O7" s="1345"/>
      <c r="P7" s="1345"/>
      <c r="Q7" s="1338"/>
    </row>
    <row r="8" spans="1:23">
      <c r="A8" s="1338" t="s">
        <v>448</v>
      </c>
      <c r="B8" s="1338" t="s">
        <v>449</v>
      </c>
      <c r="C8" s="1338" t="s">
        <v>450</v>
      </c>
      <c r="D8" s="1338" t="s">
        <v>451</v>
      </c>
      <c r="E8" s="1338" t="s">
        <v>452</v>
      </c>
      <c r="F8" s="1338" t="s">
        <v>453</v>
      </c>
      <c r="G8" s="1338" t="s">
        <v>454</v>
      </c>
      <c r="H8" s="1338" t="s">
        <v>455</v>
      </c>
      <c r="I8" s="1338" t="s">
        <v>894</v>
      </c>
      <c r="J8" s="1338" t="s">
        <v>895</v>
      </c>
      <c r="K8" s="1338" t="s">
        <v>458</v>
      </c>
      <c r="L8" s="1338" t="s">
        <v>459</v>
      </c>
      <c r="M8" s="1338" t="s">
        <v>460</v>
      </c>
      <c r="N8" s="1338" t="s">
        <v>33</v>
      </c>
      <c r="O8" s="1338" t="s">
        <v>109</v>
      </c>
      <c r="P8" s="1338" t="s">
        <v>154</v>
      </c>
      <c r="Q8" s="1338" t="s">
        <v>155</v>
      </c>
      <c r="R8" s="1338" t="s">
        <v>156</v>
      </c>
    </row>
    <row r="9" spans="1:23" ht="14.45" customHeight="1">
      <c r="B9" s="2"/>
      <c r="C9" s="2"/>
      <c r="D9" s="2"/>
      <c r="E9" s="2"/>
      <c r="I9" s="1512" t="s">
        <v>1035</v>
      </c>
      <c r="J9" s="1512"/>
      <c r="K9" s="1513" t="s">
        <v>896</v>
      </c>
      <c r="L9" s="1513"/>
      <c r="M9" s="1513"/>
      <c r="N9" s="1514" t="s">
        <v>897</v>
      </c>
      <c r="O9" s="1514"/>
      <c r="P9" s="1512" t="s">
        <v>1036</v>
      </c>
      <c r="Q9" s="1512"/>
    </row>
    <row r="10" spans="1:23" ht="69.95" customHeight="1">
      <c r="A10" s="1456" t="s">
        <v>898</v>
      </c>
      <c r="B10" s="1457" t="s">
        <v>1026</v>
      </c>
      <c r="C10" s="1458" t="s">
        <v>899</v>
      </c>
      <c r="D10" s="1457" t="s">
        <v>900</v>
      </c>
      <c r="E10" s="1457" t="s">
        <v>901</v>
      </c>
      <c r="F10" s="1457" t="s">
        <v>1027</v>
      </c>
      <c r="G10" s="1457" t="s">
        <v>902</v>
      </c>
      <c r="H10" s="1457" t="s">
        <v>903</v>
      </c>
      <c r="I10" s="1459" t="s">
        <v>1028</v>
      </c>
      <c r="J10" s="1459" t="s">
        <v>1029</v>
      </c>
      <c r="K10" s="1460" t="s">
        <v>904</v>
      </c>
      <c r="L10" s="1460">
        <v>182.3</v>
      </c>
      <c r="M10" s="1460">
        <v>254</v>
      </c>
      <c r="N10" s="1460" t="s">
        <v>1030</v>
      </c>
      <c r="O10" s="1460" t="s">
        <v>905</v>
      </c>
      <c r="P10" s="1459" t="s">
        <v>1031</v>
      </c>
      <c r="Q10" s="1459" t="s">
        <v>1032</v>
      </c>
      <c r="R10" s="1346" t="s">
        <v>906</v>
      </c>
    </row>
    <row r="11" spans="1:23">
      <c r="B11" s="1337"/>
      <c r="D11" s="1347"/>
      <c r="E11" s="1347"/>
      <c r="F11" s="1347"/>
      <c r="G11" s="1347"/>
      <c r="H11" s="1347"/>
      <c r="I11" s="1348"/>
      <c r="J11" s="1348"/>
      <c r="K11" s="1348"/>
      <c r="L11" s="1348"/>
      <c r="M11" s="1348"/>
      <c r="N11" s="1348"/>
      <c r="O11" s="1348"/>
      <c r="P11" s="1515" t="s">
        <v>907</v>
      </c>
      <c r="Q11" s="1515"/>
      <c r="R11" s="1346"/>
    </row>
    <row r="12" spans="1:23">
      <c r="B12" s="1349" t="s">
        <v>908</v>
      </c>
      <c r="C12" s="1350"/>
      <c r="D12" s="1350"/>
      <c r="E12" s="1350"/>
      <c r="F12" s="1350"/>
      <c r="G12" s="1350"/>
      <c r="H12" s="1350"/>
      <c r="I12" s="1350"/>
      <c r="J12" s="1350"/>
      <c r="K12" s="1350"/>
      <c r="L12" s="1350"/>
      <c r="M12" s="1350"/>
      <c r="N12" s="1350"/>
      <c r="O12" s="1350"/>
      <c r="P12" s="1350"/>
      <c r="Q12" s="1350"/>
      <c r="R12" s="1341"/>
      <c r="S12" s="1341"/>
      <c r="T12" s="1341"/>
      <c r="U12" s="1341"/>
      <c r="V12" s="1341"/>
      <c r="W12" s="1341"/>
    </row>
    <row r="13" spans="1:23">
      <c r="A13" s="1337" t="s">
        <v>909</v>
      </c>
      <c r="B13" s="1351" t="s">
        <v>910</v>
      </c>
      <c r="C13" s="1337" t="s">
        <v>911</v>
      </c>
      <c r="D13" s="1352" t="s">
        <v>912</v>
      </c>
      <c r="E13" s="1352" t="s">
        <v>913</v>
      </c>
      <c r="F13" s="1353"/>
      <c r="G13" s="1352"/>
      <c r="H13" s="1352"/>
      <c r="I13" s="1354">
        <v>33380267</v>
      </c>
      <c r="J13" s="1355" t="s">
        <v>416</v>
      </c>
      <c r="K13" s="1354"/>
      <c r="L13" s="1354"/>
      <c r="M13" s="1354">
        <v>-817919.10351912864</v>
      </c>
      <c r="N13" s="1354"/>
      <c r="O13" s="1354"/>
      <c r="P13" s="1356">
        <f>SUM(I13:O13)</f>
        <v>32562347.896480873</v>
      </c>
      <c r="Q13" s="1357" t="s">
        <v>416</v>
      </c>
      <c r="R13" s="1358" t="s">
        <v>970</v>
      </c>
      <c r="S13" s="1341"/>
      <c r="T13" s="1341"/>
      <c r="U13" s="1341"/>
      <c r="V13" s="1341"/>
      <c r="W13" s="1341"/>
    </row>
    <row r="14" spans="1:23">
      <c r="A14" s="1337" t="s">
        <v>914</v>
      </c>
      <c r="B14" s="1351" t="s">
        <v>915</v>
      </c>
      <c r="C14" s="1337" t="s">
        <v>916</v>
      </c>
      <c r="D14" s="1352" t="s">
        <v>917</v>
      </c>
      <c r="E14" s="1352" t="s">
        <v>913</v>
      </c>
      <c r="F14" s="1359">
        <v>-106249253</v>
      </c>
      <c r="G14" s="1360" t="s">
        <v>918</v>
      </c>
      <c r="H14" s="1360" t="s">
        <v>919</v>
      </c>
      <c r="I14" s="1337" t="s">
        <v>416</v>
      </c>
      <c r="J14" s="1354">
        <v>-106747947.94</v>
      </c>
      <c r="K14" s="1354"/>
      <c r="L14" s="1354"/>
      <c r="M14" s="1354"/>
      <c r="N14" s="1354">
        <v>172491.78030000627</v>
      </c>
      <c r="O14" s="1354">
        <v>2438317</v>
      </c>
      <c r="P14" s="1361" t="s">
        <v>416</v>
      </c>
      <c r="Q14" s="1362">
        <f>SUM(J14:O14)</f>
        <v>-104137139.15969999</v>
      </c>
      <c r="R14" s="1358" t="s">
        <v>958</v>
      </c>
      <c r="S14" s="1341"/>
      <c r="T14" s="1341"/>
      <c r="U14" s="1341"/>
      <c r="V14" s="1341"/>
      <c r="W14" s="1341"/>
    </row>
    <row r="15" spans="1:23">
      <c r="A15" s="1337" t="s">
        <v>920</v>
      </c>
      <c r="B15" s="1351" t="s">
        <v>915</v>
      </c>
      <c r="C15" s="1337" t="s">
        <v>916</v>
      </c>
      <c r="D15" s="1352" t="s">
        <v>921</v>
      </c>
      <c r="E15" s="1352" t="s">
        <v>913</v>
      </c>
      <c r="F15" s="1363">
        <v>2532427</v>
      </c>
      <c r="G15" s="1360" t="s">
        <v>922</v>
      </c>
      <c r="H15" s="1360" t="s">
        <v>923</v>
      </c>
      <c r="J15" s="1354">
        <v>1570856</v>
      </c>
      <c r="K15" s="1354"/>
      <c r="L15" s="1354"/>
      <c r="M15" s="1354"/>
      <c r="N15" s="1354">
        <v>-261809.35807352842</v>
      </c>
      <c r="O15" s="1354"/>
      <c r="P15" s="1361"/>
      <c r="Q15" s="1362">
        <f>SUM(J15:O15)</f>
        <v>1309046.6419264716</v>
      </c>
      <c r="R15" s="1399" t="s">
        <v>959</v>
      </c>
      <c r="S15" s="1341"/>
      <c r="T15" s="1341"/>
      <c r="U15" s="1341"/>
      <c r="V15" s="1341"/>
      <c r="W15" s="1341"/>
    </row>
    <row r="16" spans="1:23">
      <c r="A16" s="1337" t="s">
        <v>924</v>
      </c>
      <c r="B16" s="1351" t="s">
        <v>925</v>
      </c>
      <c r="C16" s="1337" t="s">
        <v>926</v>
      </c>
      <c r="D16" s="1352" t="s">
        <v>917</v>
      </c>
      <c r="E16" s="1352" t="s">
        <v>913</v>
      </c>
      <c r="F16" s="1363"/>
      <c r="G16" s="1360"/>
      <c r="H16" s="1360"/>
      <c r="I16" s="1354">
        <v>106747948</v>
      </c>
      <c r="J16" s="1355"/>
      <c r="K16" s="1354"/>
      <c r="L16" s="1354"/>
      <c r="M16" s="1354">
        <v>-2610808.7803000063</v>
      </c>
      <c r="N16" s="1354"/>
      <c r="O16" s="1354"/>
      <c r="P16" s="1356">
        <f>SUM(I16:O16)</f>
        <v>104137139.21969999</v>
      </c>
      <c r="Q16" s="1355"/>
      <c r="R16" s="1516" t="s">
        <v>971</v>
      </c>
      <c r="S16" s="1341"/>
      <c r="T16" s="1341"/>
      <c r="U16" s="1341"/>
      <c r="V16" s="1341"/>
      <c r="W16" s="1341"/>
    </row>
    <row r="17" spans="1:23">
      <c r="A17" s="1337" t="s">
        <v>927</v>
      </c>
      <c r="B17" s="1351" t="s">
        <v>925</v>
      </c>
      <c r="C17" s="1337" t="s">
        <v>926</v>
      </c>
      <c r="D17" s="1352" t="s">
        <v>921</v>
      </c>
      <c r="E17" s="1352" t="s">
        <v>913</v>
      </c>
      <c r="F17" s="1363"/>
      <c r="G17" s="1360"/>
      <c r="H17" s="1360"/>
      <c r="I17" s="1354">
        <v>-1570856</v>
      </c>
      <c r="J17" s="1355"/>
      <c r="K17" s="1354"/>
      <c r="L17" s="1354"/>
      <c r="M17" s="1354">
        <v>261809.35807352842</v>
      </c>
      <c r="N17" s="1354"/>
      <c r="O17" s="1354"/>
      <c r="P17" s="1356">
        <f>SUM(I17:O17)</f>
        <v>-1309046.6419264716</v>
      </c>
      <c r="Q17" s="1355"/>
      <c r="R17" s="1516"/>
      <c r="S17" s="1341"/>
      <c r="T17" s="1341"/>
      <c r="U17" s="1341"/>
      <c r="V17" s="1341"/>
      <c r="W17" s="1341"/>
    </row>
    <row r="18" spans="1:23">
      <c r="A18" s="1337" t="s">
        <v>928</v>
      </c>
      <c r="B18" s="1351" t="s">
        <v>929</v>
      </c>
      <c r="C18" s="1337" t="s">
        <v>930</v>
      </c>
      <c r="D18" s="1352" t="s">
        <v>921</v>
      </c>
      <c r="E18" s="1352" t="s">
        <v>913</v>
      </c>
      <c r="F18" s="1363">
        <v>3966093</v>
      </c>
      <c r="G18" s="1360" t="s">
        <v>922</v>
      </c>
      <c r="H18" s="1360" t="s">
        <v>923</v>
      </c>
      <c r="I18" s="1337" t="s">
        <v>416</v>
      </c>
      <c r="J18" s="1354">
        <v>8319635</v>
      </c>
      <c r="K18" s="1354"/>
      <c r="L18" s="1354"/>
      <c r="M18" s="1354"/>
      <c r="N18" s="1354">
        <v>-980219.70373739162</v>
      </c>
      <c r="O18" s="1354">
        <v>-2438317</v>
      </c>
      <c r="P18" s="1361" t="s">
        <v>416</v>
      </c>
      <c r="Q18" s="1362">
        <f>SUM(J18:O18)</f>
        <v>4901098.2962626088</v>
      </c>
      <c r="R18" s="1358" t="s">
        <v>957</v>
      </c>
      <c r="S18" s="1341"/>
      <c r="T18" s="1341"/>
      <c r="U18" s="1341"/>
      <c r="V18" s="1341"/>
      <c r="W18" s="1341"/>
    </row>
    <row r="19" spans="1:23">
      <c r="A19" s="1337" t="s">
        <v>931</v>
      </c>
      <c r="B19" s="1364" t="s">
        <v>932</v>
      </c>
      <c r="C19" s="1337" t="s">
        <v>933</v>
      </c>
      <c r="D19" s="1352" t="s">
        <v>921</v>
      </c>
      <c r="E19" s="1352" t="s">
        <v>913</v>
      </c>
      <c r="F19" s="1359"/>
      <c r="G19" s="1360"/>
      <c r="H19" s="1360"/>
      <c r="I19" s="1354">
        <v>-8319634.5</v>
      </c>
      <c r="J19" s="1355"/>
      <c r="K19" s="1354"/>
      <c r="L19" s="1354"/>
      <c r="M19" s="1354">
        <v>3418536.7037373916</v>
      </c>
      <c r="N19" s="1354"/>
      <c r="O19" s="1354"/>
      <c r="P19" s="1356">
        <f>SUM(I19:O19)</f>
        <v>-4901097.7962626088</v>
      </c>
      <c r="Q19" s="1361"/>
      <c r="R19" s="1358" t="s">
        <v>972</v>
      </c>
      <c r="S19" s="1341"/>
      <c r="T19" s="1341"/>
      <c r="U19" s="1341"/>
      <c r="V19" s="1341"/>
      <c r="W19" s="1341"/>
    </row>
    <row r="20" spans="1:23">
      <c r="A20" s="1337" t="s">
        <v>934</v>
      </c>
      <c r="B20" s="1366" t="s">
        <v>935</v>
      </c>
      <c r="D20" s="1352"/>
      <c r="E20" s="1352"/>
      <c r="F20" s="1359"/>
      <c r="G20" s="1360"/>
      <c r="H20" s="1360"/>
      <c r="I20" s="1354"/>
      <c r="J20" s="1354"/>
      <c r="K20" s="1354"/>
      <c r="L20" s="1354"/>
      <c r="M20" s="1354"/>
      <c r="N20" s="1354"/>
      <c r="O20" s="1354"/>
      <c r="P20" s="1357"/>
      <c r="Q20" s="1356"/>
      <c r="R20" s="1365"/>
      <c r="S20" s="1341"/>
      <c r="T20" s="1341"/>
      <c r="U20" s="1341"/>
      <c r="V20" s="1341"/>
      <c r="W20" s="1341"/>
    </row>
    <row r="21" spans="1:23" ht="12.75">
      <c r="B21" s="1367"/>
      <c r="C21" s="1367"/>
      <c r="D21" s="1367"/>
      <c r="E21" s="1367"/>
      <c r="F21" s="1367"/>
      <c r="G21" s="1367"/>
      <c r="H21" s="1367"/>
      <c r="I21" s="1367"/>
      <c r="J21" s="1367"/>
      <c r="K21" s="1367"/>
      <c r="L21" s="1367"/>
      <c r="M21" s="1367"/>
      <c r="N21"/>
      <c r="O21"/>
      <c r="P21"/>
      <c r="Q21"/>
      <c r="R21"/>
      <c r="S21" s="1341"/>
      <c r="T21" s="1341"/>
      <c r="U21" s="1341"/>
      <c r="V21" s="1341"/>
      <c r="W21" s="1341"/>
    </row>
    <row r="22" spans="1:23" s="1341" customFormat="1">
      <c r="A22" s="1337"/>
      <c r="B22" s="1349" t="s">
        <v>936</v>
      </c>
      <c r="Q22" s="1368"/>
      <c r="R22" s="1369"/>
    </row>
    <row r="23" spans="1:23" ht="11.45" customHeight="1">
      <c r="A23" s="1337" t="s">
        <v>937</v>
      </c>
      <c r="B23" s="1370">
        <v>182.3</v>
      </c>
      <c r="C23" s="1371" t="s">
        <v>938</v>
      </c>
      <c r="D23" s="1372" t="s">
        <v>416</v>
      </c>
      <c r="E23" s="1352" t="s">
        <v>913</v>
      </c>
      <c r="F23" s="1372"/>
      <c r="G23" s="1372" t="s">
        <v>416</v>
      </c>
      <c r="H23" s="1372"/>
      <c r="I23" s="1373">
        <v>0</v>
      </c>
      <c r="J23" s="1354"/>
      <c r="K23" s="1354"/>
      <c r="L23" s="1354"/>
      <c r="M23" s="1354"/>
      <c r="N23" s="1354"/>
      <c r="O23" s="1355"/>
      <c r="P23" s="1357">
        <f>SUM(I23:O23)</f>
        <v>0</v>
      </c>
      <c r="Q23" s="1374"/>
      <c r="R23" s="1358" t="s">
        <v>939</v>
      </c>
      <c r="S23" s="1341"/>
      <c r="T23" s="1341"/>
      <c r="U23" s="1341"/>
      <c r="V23" s="1341"/>
      <c r="W23" s="1341"/>
    </row>
    <row r="24" spans="1:23" ht="11.45" customHeight="1">
      <c r="A24" s="1337" t="s">
        <v>940</v>
      </c>
      <c r="B24" s="1370">
        <v>254</v>
      </c>
      <c r="C24" s="1371" t="s">
        <v>941</v>
      </c>
      <c r="D24" s="1372" t="s">
        <v>416</v>
      </c>
      <c r="E24" s="1352" t="s">
        <v>913</v>
      </c>
      <c r="F24" s="1372"/>
      <c r="G24" s="1372" t="s">
        <v>416</v>
      </c>
      <c r="H24" s="1372"/>
      <c r="I24" s="1373">
        <v>-130237723</v>
      </c>
      <c r="J24" s="1354"/>
      <c r="K24" s="1354"/>
      <c r="L24" s="1354"/>
      <c r="M24" s="1354">
        <v>-251618.17799178511</v>
      </c>
      <c r="N24" s="1354"/>
      <c r="O24" s="1355"/>
      <c r="P24" s="1357">
        <f>SUM(I24:O24)</f>
        <v>-130489341.17799178</v>
      </c>
      <c r="Q24" s="1374"/>
      <c r="R24" s="1358" t="s">
        <v>939</v>
      </c>
      <c r="S24" s="1341"/>
      <c r="T24" s="1341"/>
      <c r="U24" s="1341"/>
      <c r="V24" s="1341"/>
      <c r="W24" s="1341"/>
    </row>
    <row r="25" spans="1:23" ht="11.45" customHeight="1">
      <c r="A25" s="1337" t="s">
        <v>942</v>
      </c>
      <c r="B25" s="1366" t="s">
        <v>935</v>
      </c>
      <c r="C25" s="1371"/>
      <c r="D25" s="1372"/>
      <c r="E25" s="1352"/>
      <c r="F25" s="1372"/>
      <c r="G25" s="1372"/>
      <c r="H25" s="1372"/>
      <c r="I25" s="1354"/>
      <c r="J25" s="1354"/>
      <c r="K25" s="1354"/>
      <c r="L25" s="1354"/>
      <c r="M25" s="1354"/>
      <c r="N25" s="1354"/>
      <c r="O25" s="1372"/>
      <c r="P25" s="1374"/>
      <c r="Q25" s="1374"/>
      <c r="R25" s="1358"/>
      <c r="S25" s="1341"/>
      <c r="T25" s="1341"/>
      <c r="U25" s="1341"/>
      <c r="V25" s="1341"/>
      <c r="W25" s="1341"/>
    </row>
    <row r="26" spans="1:23">
      <c r="B26" s="1370"/>
      <c r="C26" s="1371"/>
      <c r="D26" s="1345"/>
      <c r="E26" s="1345"/>
      <c r="F26" s="1345"/>
      <c r="G26" s="1345"/>
      <c r="H26" s="1345"/>
      <c r="I26" s="1345"/>
      <c r="J26" s="1345"/>
      <c r="K26" s="1345"/>
      <c r="L26" s="1345"/>
      <c r="M26" s="1345"/>
      <c r="N26" s="1345"/>
      <c r="O26" s="1345"/>
      <c r="P26" s="1345"/>
      <c r="Q26" s="1345"/>
      <c r="R26" s="1375"/>
      <c r="S26" s="1341"/>
      <c r="T26" s="1341"/>
      <c r="U26" s="1341"/>
      <c r="V26" s="1341"/>
      <c r="W26" s="1341"/>
    </row>
    <row r="27" spans="1:23" ht="12.75" thickBot="1">
      <c r="A27" s="1376">
        <v>3</v>
      </c>
      <c r="B27" s="1517" t="str">
        <f>"Total For Accounting Entires (Sum of Lines "&amp;A13&amp;" through "&amp;A24&amp;")"</f>
        <v>Total For Accounting Entires (Sum of Lines 1a through 2b)</v>
      </c>
      <c r="C27" s="1517"/>
      <c r="D27" s="1372"/>
      <c r="E27" s="1372"/>
      <c r="F27" s="1372"/>
      <c r="G27" s="1372"/>
      <c r="H27" s="1372"/>
      <c r="I27" s="1377">
        <v>1.5</v>
      </c>
      <c r="J27" s="1378">
        <v>-96857456.939999998</v>
      </c>
      <c r="K27" s="1379">
        <f>SUM(K13:K26)</f>
        <v>0</v>
      </c>
      <c r="L27" s="1379">
        <f>SUM(L13:L26)</f>
        <v>0</v>
      </c>
      <c r="M27" s="1379">
        <f>SUM(M13:M26)</f>
        <v>0</v>
      </c>
      <c r="N27" s="1378">
        <f>-SUM(N13:N26)</f>
        <v>1069537.2815109137</v>
      </c>
      <c r="O27" s="1378">
        <f>-SUM(O13:O26)</f>
        <v>0</v>
      </c>
      <c r="P27" s="1379">
        <f>SUM(P13:P26)</f>
        <v>1.5000000149011612</v>
      </c>
      <c r="Q27" s="1378">
        <f>SUM(Q13:Q26)</f>
        <v>-97926994.221510917</v>
      </c>
      <c r="R27" s="1380"/>
      <c r="S27" s="1341"/>
      <c r="T27" s="1341"/>
      <c r="U27" s="1341"/>
      <c r="V27" s="1341"/>
      <c r="W27" s="1341"/>
    </row>
    <row r="28" spans="1:23" ht="12.75" thickTop="1">
      <c r="B28" s="1370"/>
      <c r="C28" s="1371"/>
      <c r="D28" s="1345"/>
      <c r="E28" s="1345"/>
      <c r="F28" s="1345"/>
      <c r="G28" s="1345"/>
      <c r="H28" s="1345"/>
      <c r="I28" s="1381"/>
      <c r="J28" s="1363"/>
      <c r="K28" s="1382"/>
      <c r="L28" s="1382"/>
      <c r="M28" s="1382"/>
      <c r="N28" s="1383" t="s">
        <v>943</v>
      </c>
      <c r="O28" s="1383"/>
      <c r="P28" s="1382"/>
      <c r="Q28" s="1384"/>
      <c r="R28" s="1380"/>
      <c r="S28" s="1341"/>
      <c r="T28" s="1341"/>
      <c r="U28" s="1341"/>
      <c r="V28" s="1341"/>
      <c r="W28" s="1341"/>
    </row>
    <row r="29" spans="1:23">
      <c r="B29" s="1337"/>
      <c r="C29" s="1371"/>
      <c r="D29" s="1345"/>
      <c r="E29" s="1345"/>
      <c r="F29" s="1345"/>
      <c r="G29" s="1345"/>
      <c r="H29" s="1345"/>
      <c r="I29" s="1381"/>
      <c r="J29" s="1384"/>
      <c r="K29" s="1382"/>
      <c r="L29" s="1382"/>
      <c r="M29" s="1382"/>
      <c r="N29" s="1384"/>
      <c r="O29" s="1384"/>
      <c r="P29" s="1382"/>
      <c r="Q29" s="1384"/>
      <c r="R29" s="1380"/>
      <c r="S29" s="1341"/>
      <c r="T29" s="1341"/>
      <c r="U29" s="1341"/>
      <c r="V29" s="1341"/>
      <c r="W29" s="1341"/>
    </row>
    <row r="30" spans="1:23" ht="15" customHeight="1">
      <c r="A30" s="1447" t="s">
        <v>944</v>
      </c>
      <c r="B30" s="1511" t="s">
        <v>945</v>
      </c>
      <c r="C30" s="1511"/>
      <c r="D30" s="1511"/>
      <c r="E30" s="1511"/>
      <c r="F30" s="1511"/>
      <c r="G30" s="1511"/>
      <c r="H30" s="1511"/>
      <c r="I30" s="1511"/>
      <c r="J30" s="1511"/>
      <c r="K30" s="1386"/>
      <c r="L30" s="1387"/>
      <c r="O30" s="1388"/>
      <c r="P30" s="1388"/>
      <c r="Q30" s="1388"/>
      <c r="R30" s="1341"/>
    </row>
    <row r="31" spans="1:23">
      <c r="A31" s="1448"/>
      <c r="B31" s="1511"/>
      <c r="C31" s="1511"/>
      <c r="D31" s="1511"/>
      <c r="E31" s="1511"/>
      <c r="F31" s="1511"/>
      <c r="G31" s="1511"/>
      <c r="H31" s="1511"/>
      <c r="I31" s="1511"/>
      <c r="J31" s="1511"/>
      <c r="K31" s="1386"/>
      <c r="L31" s="1387"/>
      <c r="O31" s="1388"/>
      <c r="R31" s="1341"/>
    </row>
    <row r="32" spans="1:23">
      <c r="A32" s="1448"/>
      <c r="B32" s="1511"/>
      <c r="C32" s="1511"/>
      <c r="D32" s="1511"/>
      <c r="E32" s="1511"/>
      <c r="F32" s="1511"/>
      <c r="G32" s="1511"/>
      <c r="H32" s="1511"/>
      <c r="I32" s="1511"/>
      <c r="J32" s="1511"/>
      <c r="K32" s="1386"/>
      <c r="L32" s="1387"/>
      <c r="R32" s="1341"/>
    </row>
    <row r="33" spans="1:18">
      <c r="A33" s="1448"/>
      <c r="B33" s="1511"/>
      <c r="C33" s="1511"/>
      <c r="D33" s="1511"/>
      <c r="E33" s="1511"/>
      <c r="F33" s="1511"/>
      <c r="G33" s="1511"/>
      <c r="H33" s="1511"/>
      <c r="I33" s="1511"/>
      <c r="J33" s="1511"/>
      <c r="K33" s="1386"/>
      <c r="L33" s="1387"/>
      <c r="P33" s="1388"/>
      <c r="Q33" s="1388"/>
      <c r="R33" s="1341"/>
    </row>
    <row r="34" spans="1:18">
      <c r="A34" s="1448"/>
      <c r="B34" s="1511"/>
      <c r="C34" s="1511"/>
      <c r="D34" s="1511"/>
      <c r="E34" s="1511"/>
      <c r="F34" s="1511"/>
      <c r="G34" s="1511"/>
      <c r="H34" s="1511"/>
      <c r="I34" s="1511"/>
      <c r="J34" s="1511"/>
      <c r="K34" s="1386"/>
      <c r="R34" s="1341"/>
    </row>
    <row r="35" spans="1:18">
      <c r="A35" s="1448"/>
      <c r="B35" s="1511"/>
      <c r="C35" s="1511"/>
      <c r="D35" s="1511"/>
      <c r="E35" s="1511"/>
      <c r="F35" s="1511"/>
      <c r="G35" s="1511"/>
      <c r="H35" s="1511"/>
      <c r="I35" s="1511"/>
      <c r="J35" s="1511"/>
      <c r="K35" s="1386"/>
      <c r="R35" s="1341"/>
    </row>
    <row r="36" spans="1:18" ht="5.0999999999999996" customHeight="1">
      <c r="A36" s="1448"/>
      <c r="B36" s="1449"/>
      <c r="C36" s="1449"/>
      <c r="D36" s="1449"/>
      <c r="E36" s="1449"/>
      <c r="F36" s="1449"/>
      <c r="G36" s="1449"/>
      <c r="H36" s="1449"/>
      <c r="I36" s="1449"/>
      <c r="J36" s="1449"/>
      <c r="K36" s="1386"/>
      <c r="R36" s="1341"/>
    </row>
    <row r="37" spans="1:18" ht="12.6" customHeight="1">
      <c r="A37" s="1448" t="s">
        <v>946</v>
      </c>
      <c r="B37" s="1450" t="s">
        <v>1017</v>
      </c>
      <c r="C37" s="1450"/>
      <c r="D37" s="1450"/>
      <c r="E37" s="1450"/>
      <c r="F37" s="1450"/>
      <c r="G37" s="1450"/>
      <c r="H37" s="1450"/>
      <c r="I37" s="1450"/>
      <c r="J37" s="1450"/>
      <c r="K37" s="1386"/>
      <c r="R37" s="1341"/>
    </row>
    <row r="38" spans="1:18" ht="5.0999999999999996" customHeight="1">
      <c r="A38" s="1448"/>
      <c r="B38" s="1449"/>
      <c r="C38" s="1449"/>
      <c r="D38" s="1449"/>
      <c r="E38" s="1449"/>
      <c r="F38" s="1449"/>
      <c r="G38" s="1449"/>
      <c r="H38" s="1449"/>
      <c r="I38" s="1449"/>
      <c r="J38" s="1449"/>
      <c r="K38" s="1386"/>
      <c r="R38" s="1341"/>
    </row>
    <row r="39" spans="1:18" s="1390" customFormat="1" ht="12.6" customHeight="1">
      <c r="A39" s="1448" t="s">
        <v>947</v>
      </c>
      <c r="B39" s="1518" t="s">
        <v>1018</v>
      </c>
      <c r="C39" s="1518"/>
      <c r="D39" s="1518"/>
      <c r="E39" s="1518"/>
      <c r="F39" s="1518"/>
      <c r="G39" s="1518"/>
      <c r="H39" s="1518"/>
      <c r="I39" s="1518"/>
      <c r="J39" s="1518"/>
      <c r="K39" s="1389"/>
      <c r="R39" s="1368"/>
    </row>
    <row r="40" spans="1:18" s="1390" customFormat="1" ht="12.6" customHeight="1">
      <c r="A40" s="1448"/>
      <c r="B40" s="1518"/>
      <c r="C40" s="1518"/>
      <c r="D40" s="1518"/>
      <c r="E40" s="1518"/>
      <c r="F40" s="1518"/>
      <c r="G40" s="1518"/>
      <c r="H40" s="1518"/>
      <c r="I40" s="1518"/>
      <c r="J40" s="1518"/>
      <c r="K40" s="1389"/>
      <c r="R40" s="1368"/>
    </row>
    <row r="41" spans="1:18" ht="5.0999999999999996" customHeight="1">
      <c r="A41" s="1448"/>
      <c r="B41" s="1449"/>
      <c r="C41" s="1449"/>
      <c r="D41" s="1449"/>
      <c r="E41" s="1449"/>
      <c r="F41" s="1449"/>
      <c r="G41" s="1449"/>
      <c r="H41" s="1449"/>
      <c r="I41" s="1449"/>
      <c r="J41" s="1449"/>
      <c r="K41" s="1386"/>
      <c r="R41" s="1341"/>
    </row>
    <row r="42" spans="1:18">
      <c r="A42" s="1448" t="s">
        <v>948</v>
      </c>
      <c r="B42" s="1451" t="s">
        <v>1019</v>
      </c>
      <c r="C42" s="1449"/>
      <c r="D42" s="1449"/>
      <c r="E42" s="1449"/>
      <c r="F42" s="1449"/>
      <c r="G42" s="1449"/>
      <c r="H42" s="1449"/>
      <c r="I42" s="1449"/>
      <c r="J42" s="1449"/>
      <c r="K42" s="1386"/>
      <c r="R42" s="1341"/>
    </row>
    <row r="43" spans="1:18" ht="8.1" customHeight="1">
      <c r="A43" s="1448"/>
      <c r="B43" s="1451"/>
      <c r="C43" s="1449"/>
      <c r="D43" s="1449"/>
      <c r="E43" s="1449"/>
      <c r="F43" s="1449"/>
      <c r="G43" s="1449"/>
      <c r="H43" s="1449"/>
      <c r="I43" s="1449"/>
      <c r="J43" s="1449"/>
      <c r="K43" s="1386"/>
      <c r="R43" s="1341"/>
    </row>
    <row r="44" spans="1:18" ht="12" customHeight="1">
      <c r="A44" s="1452" t="s">
        <v>949</v>
      </c>
      <c r="B44" s="1511" t="s">
        <v>1020</v>
      </c>
      <c r="C44" s="1511"/>
      <c r="D44" s="1511"/>
      <c r="E44" s="1511"/>
      <c r="F44" s="1511"/>
      <c r="G44" s="1511"/>
      <c r="H44" s="1511"/>
      <c r="I44" s="1511"/>
      <c r="J44" s="1449"/>
      <c r="K44" s="1387"/>
      <c r="R44" s="1341"/>
    </row>
    <row r="45" spans="1:18" ht="11.45" customHeight="1">
      <c r="A45" s="1448"/>
      <c r="B45" s="1511"/>
      <c r="C45" s="1511"/>
      <c r="D45" s="1511"/>
      <c r="E45" s="1511"/>
      <c r="F45" s="1511"/>
      <c r="G45" s="1511"/>
      <c r="H45" s="1511"/>
      <c r="I45" s="1511"/>
      <c r="J45" s="1449"/>
      <c r="R45" s="1341"/>
    </row>
    <row r="46" spans="1:18">
      <c r="A46" s="1448"/>
      <c r="B46" s="1453"/>
      <c r="C46" s="1448"/>
      <c r="D46" s="1448"/>
      <c r="E46" s="1448"/>
      <c r="F46" s="1448"/>
      <c r="G46" s="1448"/>
      <c r="H46" s="1448"/>
      <c r="I46" s="1448"/>
      <c r="J46" s="1448"/>
      <c r="R46" s="1341"/>
    </row>
    <row r="47" spans="1:18">
      <c r="A47" s="1452" t="s">
        <v>1021</v>
      </c>
      <c r="B47" s="1511" t="s">
        <v>1022</v>
      </c>
      <c r="C47" s="1511"/>
      <c r="D47" s="1511"/>
      <c r="E47" s="1511"/>
      <c r="F47" s="1511"/>
      <c r="G47" s="1511"/>
      <c r="H47" s="1511"/>
      <c r="I47" s="1511"/>
      <c r="J47" s="1448"/>
      <c r="R47" s="1341"/>
    </row>
    <row r="48" spans="1:18">
      <c r="A48" s="1448"/>
      <c r="B48" s="1511"/>
      <c r="C48" s="1511"/>
      <c r="D48" s="1511"/>
      <c r="E48" s="1511"/>
      <c r="F48" s="1511"/>
      <c r="G48" s="1511"/>
      <c r="H48" s="1511"/>
      <c r="I48" s="1511"/>
      <c r="J48" s="1448"/>
      <c r="R48" s="1341"/>
    </row>
    <row r="49" spans="1:11">
      <c r="A49" s="1448"/>
      <c r="B49" s="1453"/>
      <c r="C49" s="1448"/>
      <c r="D49" s="1448"/>
      <c r="E49" s="1448"/>
      <c r="F49" s="1448"/>
      <c r="G49" s="1448"/>
      <c r="H49" s="1448"/>
      <c r="I49" s="1448"/>
      <c r="J49" s="1448"/>
    </row>
    <row r="50" spans="1:11">
      <c r="A50" s="1452" t="s">
        <v>1023</v>
      </c>
      <c r="B50" s="1454" t="s">
        <v>1024</v>
      </c>
      <c r="C50" s="1454"/>
      <c r="D50" s="1454"/>
      <c r="E50" s="1454"/>
      <c r="F50" s="1454"/>
      <c r="G50" s="1454"/>
      <c r="H50" s="1448"/>
      <c r="I50" s="1448"/>
      <c r="J50" s="1448"/>
    </row>
    <row r="51" spans="1:11">
      <c r="A51" s="1448"/>
      <c r="B51" s="1453"/>
      <c r="C51" s="1448"/>
      <c r="D51" s="1448"/>
      <c r="E51" s="1448"/>
      <c r="F51" s="1448"/>
      <c r="G51" s="1448"/>
      <c r="H51" s="1448"/>
      <c r="I51" s="1448"/>
      <c r="J51" s="1448"/>
    </row>
    <row r="52" spans="1:11">
      <c r="A52" s="1448"/>
      <c r="B52" s="1453"/>
      <c r="C52" s="1448"/>
      <c r="D52" s="1448"/>
      <c r="E52" s="1448"/>
      <c r="F52" s="1448"/>
      <c r="G52" s="1448"/>
      <c r="H52" s="1448"/>
      <c r="I52" s="1448"/>
      <c r="J52" s="1448"/>
    </row>
    <row r="53" spans="1:11">
      <c r="A53" s="1447"/>
      <c r="B53" s="1447"/>
      <c r="C53" s="1447"/>
      <c r="D53" s="1447"/>
      <c r="E53" s="1447"/>
      <c r="F53" s="1447"/>
      <c r="G53" s="1447"/>
      <c r="H53" s="1447"/>
      <c r="I53" s="1447"/>
      <c r="J53" s="1447"/>
      <c r="K53" s="1385"/>
    </row>
    <row r="54" spans="1:11">
      <c r="A54" s="1385"/>
      <c r="B54" s="1385"/>
      <c r="C54" s="1385"/>
      <c r="D54" s="1385"/>
      <c r="E54" s="1385"/>
      <c r="F54" s="1385"/>
      <c r="G54" s="1385"/>
      <c r="H54" s="1385"/>
      <c r="I54" s="1385"/>
      <c r="J54" s="1385"/>
      <c r="K54" s="1385"/>
    </row>
    <row r="55" spans="1:11">
      <c r="D55" s="1385"/>
      <c r="E55" s="1385"/>
      <c r="F55" s="1385"/>
      <c r="G55" s="1385"/>
      <c r="H55" s="1385"/>
      <c r="I55" s="1385"/>
      <c r="J55" s="1385"/>
      <c r="K55" s="1385"/>
    </row>
    <row r="56" spans="1:11">
      <c r="A56" s="1385"/>
      <c r="B56" s="1385"/>
      <c r="C56" s="1385"/>
      <c r="D56" s="1385"/>
      <c r="E56" s="1385"/>
      <c r="F56" s="1385"/>
      <c r="G56" s="1385"/>
      <c r="H56" s="1385"/>
      <c r="I56" s="1385"/>
      <c r="J56" s="1385"/>
      <c r="K56" s="1385"/>
    </row>
    <row r="57" spans="1:11">
      <c r="A57" s="1385"/>
      <c r="B57" s="1385"/>
      <c r="C57" s="1385"/>
      <c r="D57" s="1385"/>
      <c r="E57" s="1385"/>
      <c r="F57" s="1385"/>
      <c r="G57" s="1385"/>
      <c r="H57" s="1385"/>
      <c r="I57" s="1385"/>
      <c r="J57" s="1385"/>
      <c r="K57" s="1385"/>
    </row>
    <row r="58" spans="1:11">
      <c r="A58" s="1385"/>
      <c r="B58" s="1385"/>
      <c r="C58" s="1385"/>
      <c r="D58" s="1385"/>
      <c r="E58" s="1385"/>
      <c r="F58" s="1385"/>
      <c r="G58" s="1385"/>
      <c r="H58" s="1385"/>
      <c r="I58" s="1385"/>
      <c r="J58" s="1385"/>
      <c r="K58" s="1385"/>
    </row>
    <row r="59" spans="1:11">
      <c r="A59" s="1385"/>
      <c r="B59" s="1385"/>
      <c r="C59" s="1385"/>
      <c r="D59" s="1385"/>
      <c r="E59" s="1385"/>
      <c r="F59" s="1385"/>
      <c r="G59" s="1385"/>
      <c r="H59" s="1385"/>
      <c r="I59" s="1385"/>
      <c r="J59" s="1385"/>
      <c r="K59" s="1385"/>
    </row>
    <row r="60" spans="1:11">
      <c r="A60" s="1385"/>
      <c r="B60" s="1385"/>
      <c r="C60" s="1385"/>
      <c r="D60" s="1385"/>
      <c r="E60" s="1385"/>
      <c r="F60" s="1385"/>
      <c r="G60" s="1385"/>
      <c r="H60" s="1385"/>
      <c r="I60" s="1385"/>
      <c r="J60" s="1385"/>
      <c r="K60" s="1385"/>
    </row>
    <row r="61" spans="1:11">
      <c r="A61" s="1385"/>
      <c r="B61" s="1385"/>
      <c r="C61" s="1385"/>
      <c r="D61" s="1385"/>
      <c r="E61" s="1385"/>
      <c r="F61" s="1385"/>
      <c r="G61" s="1385"/>
      <c r="H61" s="1385"/>
      <c r="I61" s="1385"/>
      <c r="J61" s="1385"/>
      <c r="K61" s="1385"/>
    </row>
    <row r="62" spans="1:11">
      <c r="A62" s="1385"/>
      <c r="B62" s="1385"/>
      <c r="C62" s="1385"/>
      <c r="D62" s="1385"/>
      <c r="E62" s="1385"/>
      <c r="F62" s="1385"/>
      <c r="G62" s="1385"/>
      <c r="H62" s="1385"/>
      <c r="I62" s="1385"/>
      <c r="J62" s="1385"/>
      <c r="K62" s="1385"/>
    </row>
    <row r="63" spans="1:11">
      <c r="A63" s="1385"/>
      <c r="B63" s="1385"/>
      <c r="C63" s="1385"/>
      <c r="D63" s="1385"/>
      <c r="E63" s="1385"/>
      <c r="F63" s="1385"/>
      <c r="G63" s="1385"/>
      <c r="H63" s="1385"/>
      <c r="I63" s="1385"/>
      <c r="J63" s="1385"/>
      <c r="K63" s="1385"/>
    </row>
    <row r="70" spans="1:11">
      <c r="B70" s="1376"/>
    </row>
    <row r="71" spans="1:11">
      <c r="B71" s="1387"/>
    </row>
    <row r="72" spans="1:11">
      <c r="B72" s="1387"/>
    </row>
    <row r="73" spans="1:11">
      <c r="B73" s="1387"/>
    </row>
    <row r="74" spans="1:11">
      <c r="B74" s="1387"/>
      <c r="D74" s="1390"/>
      <c r="E74" s="1390"/>
      <c r="F74" s="1390"/>
    </row>
    <row r="75" spans="1:11">
      <c r="A75" s="1391"/>
      <c r="B75" s="1385"/>
      <c r="C75" s="1385"/>
      <c r="D75" s="1385"/>
      <c r="E75" s="1385"/>
      <c r="F75" s="1385"/>
      <c r="G75" s="1385"/>
      <c r="H75" s="1385"/>
      <c r="I75" s="1385"/>
      <c r="J75" s="1385"/>
      <c r="K75" s="1385"/>
    </row>
    <row r="76" spans="1:11">
      <c r="A76" s="1385"/>
      <c r="B76" s="1385"/>
      <c r="C76" s="1385"/>
      <c r="D76" s="1385"/>
      <c r="E76" s="1385"/>
      <c r="F76" s="1385"/>
      <c r="G76" s="1385"/>
      <c r="H76" s="1385"/>
      <c r="I76" s="1385"/>
      <c r="J76" s="1385"/>
      <c r="K76" s="1385"/>
    </row>
    <row r="77" spans="1:11">
      <c r="A77" s="1385"/>
      <c r="B77" s="1385"/>
      <c r="C77" s="1385"/>
      <c r="D77" s="1385"/>
      <c r="E77" s="1385"/>
      <c r="F77" s="1385"/>
      <c r="G77" s="1385"/>
      <c r="H77" s="1385"/>
      <c r="I77" s="1385"/>
      <c r="J77" s="1385"/>
      <c r="K77" s="1385"/>
    </row>
    <row r="78" spans="1:11">
      <c r="A78" s="1385"/>
      <c r="B78" s="1385"/>
      <c r="C78" s="1385"/>
      <c r="D78" s="1385"/>
      <c r="E78" s="1385"/>
      <c r="F78" s="1385"/>
      <c r="G78" s="1385"/>
      <c r="H78" s="1385"/>
      <c r="I78" s="1385"/>
      <c r="J78" s="1385"/>
      <c r="K78" s="1385"/>
    </row>
    <row r="79" spans="1:11">
      <c r="A79" s="1385"/>
      <c r="B79" s="1385"/>
      <c r="C79" s="1385"/>
      <c r="D79" s="1392"/>
      <c r="E79" s="1392"/>
      <c r="F79" s="1392"/>
      <c r="G79" s="1385"/>
      <c r="H79" s="1385"/>
      <c r="I79" s="1385"/>
      <c r="J79" s="1385"/>
      <c r="K79" s="1385"/>
    </row>
    <row r="80" spans="1:11">
      <c r="A80" s="1385"/>
      <c r="B80" s="1385"/>
      <c r="C80" s="1385"/>
      <c r="D80" s="1388"/>
      <c r="E80" s="1388"/>
      <c r="F80" s="1388"/>
      <c r="G80" s="1385"/>
      <c r="H80" s="1385"/>
      <c r="I80" s="1385"/>
      <c r="J80" s="1385"/>
      <c r="K80" s="1385"/>
    </row>
    <row r="81" spans="1:11">
      <c r="A81" s="1385"/>
      <c r="B81" s="1385"/>
      <c r="C81" s="1385"/>
      <c r="D81" s="1392"/>
      <c r="E81" s="1392"/>
      <c r="F81" s="1392"/>
      <c r="G81" s="1385"/>
      <c r="H81" s="1385"/>
      <c r="I81" s="1385"/>
      <c r="J81" s="1385"/>
      <c r="K81" s="1385"/>
    </row>
    <row r="82" spans="1:11">
      <c r="A82" s="1385"/>
      <c r="B82" s="1385"/>
      <c r="C82" s="1385"/>
      <c r="D82" s="1385"/>
      <c r="E82" s="1385"/>
      <c r="F82" s="1385"/>
      <c r="G82" s="1385"/>
      <c r="H82" s="1385"/>
      <c r="I82" s="1385"/>
      <c r="J82" s="1385"/>
      <c r="K82" s="1385"/>
    </row>
    <row r="83" spans="1:11">
      <c r="A83" s="1385"/>
      <c r="B83" s="1385"/>
      <c r="C83" s="1385"/>
      <c r="D83" s="1385"/>
      <c r="E83" s="1385"/>
      <c r="F83" s="1385"/>
      <c r="G83" s="1385"/>
      <c r="H83" s="1385"/>
      <c r="I83" s="1385"/>
      <c r="J83" s="1385"/>
      <c r="K83" s="1385"/>
    </row>
    <row r="84" spans="1:11">
      <c r="A84" s="1385"/>
      <c r="B84" s="1385"/>
      <c r="C84" s="1385"/>
      <c r="D84" s="1385"/>
      <c r="E84" s="1385"/>
      <c r="F84" s="1385"/>
      <c r="G84" s="1385"/>
      <c r="H84" s="1385"/>
      <c r="I84" s="1385"/>
      <c r="J84" s="1385"/>
      <c r="K84" s="1385"/>
    </row>
    <row r="85" spans="1:11">
      <c r="A85" s="1385"/>
      <c r="C85" s="1385"/>
      <c r="D85" s="1385"/>
      <c r="E85" s="1385"/>
      <c r="F85" s="1385"/>
      <c r="G85" s="1385"/>
      <c r="H85" s="1385"/>
      <c r="I85" s="1385"/>
      <c r="J85" s="1385"/>
      <c r="K85" s="1385"/>
    </row>
    <row r="86" spans="1:11">
      <c r="A86" s="1385"/>
      <c r="B86" s="1385"/>
      <c r="C86" s="1385"/>
      <c r="D86" s="1385"/>
      <c r="E86" s="1385"/>
      <c r="F86" s="1385"/>
      <c r="G86" s="1385"/>
      <c r="H86" s="1385"/>
      <c r="I86" s="1385"/>
      <c r="J86" s="1385"/>
      <c r="K86" s="1385"/>
    </row>
    <row r="87" spans="1:11">
      <c r="A87" s="1385"/>
      <c r="B87" s="1385"/>
      <c r="C87" s="1385"/>
      <c r="D87" s="1385"/>
      <c r="E87" s="1385"/>
      <c r="F87" s="1385"/>
      <c r="G87" s="1385"/>
      <c r="H87" s="1385"/>
      <c r="I87" s="1385"/>
      <c r="J87" s="1385"/>
      <c r="K87" s="1385"/>
    </row>
  </sheetData>
  <mergeCells count="11">
    <mergeCell ref="R16:R17"/>
    <mergeCell ref="B27:C27"/>
    <mergeCell ref="B30:J35"/>
    <mergeCell ref="B39:J40"/>
    <mergeCell ref="B44:I45"/>
    <mergeCell ref="B47:I48"/>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7"/>
  <sheetViews>
    <sheetView workbookViewId="0">
      <selection activeCell="O5" sqref="O5"/>
    </sheetView>
  </sheetViews>
  <sheetFormatPr defaultColWidth="11.85546875" defaultRowHeight="12.75"/>
  <cols>
    <col min="1" max="1" width="9" style="1406" customWidth="1"/>
    <col min="2" max="2" width="15" style="1407" bestFit="1" customWidth="1"/>
    <col min="3" max="3" width="4.140625" style="1407" customWidth="1"/>
    <col min="4" max="4" width="21" style="1407" bestFit="1" customWidth="1"/>
    <col min="5" max="5" width="29.7109375" style="1407" bestFit="1" customWidth="1"/>
    <col min="6" max="6" width="21.42578125" style="1407" customWidth="1"/>
    <col min="7" max="7" width="2.7109375" style="1407" customWidth="1"/>
    <col min="8" max="8" width="16.7109375" style="1407" customWidth="1"/>
    <col min="9" max="9" width="2.42578125" style="1407" customWidth="1"/>
    <col min="10" max="10" width="17.42578125" style="1407" customWidth="1"/>
    <col min="11" max="11" width="3.5703125" style="1407" customWidth="1"/>
    <col min="12" max="12" width="20.5703125" style="1407" customWidth="1"/>
    <col min="13" max="13" width="16.7109375" style="1407" customWidth="1"/>
    <col min="14" max="14" width="3.5703125" style="1407" customWidth="1"/>
    <col min="15" max="15" width="19.42578125" style="1407" bestFit="1" customWidth="1"/>
    <col min="16" max="16" width="16" style="1410" bestFit="1" customWidth="1"/>
    <col min="17" max="17" width="15.28515625" style="1407" bestFit="1" customWidth="1"/>
    <col min="18" max="16384" width="11.85546875" style="1407"/>
  </cols>
  <sheetData>
    <row r="1" spans="1:18" ht="15">
      <c r="A1" s="1406" t="s">
        <v>978</v>
      </c>
      <c r="L1" s="1408"/>
      <c r="M1" s="1408"/>
      <c r="O1" s="1409" t="s">
        <v>979</v>
      </c>
    </row>
    <row r="2" spans="1:18">
      <c r="A2" s="1411" t="s">
        <v>980</v>
      </c>
      <c r="O2" s="1412" t="s">
        <v>981</v>
      </c>
    </row>
    <row r="3" spans="1:18">
      <c r="A3" s="1406" t="s">
        <v>982</v>
      </c>
      <c r="O3" s="1412" t="s">
        <v>983</v>
      </c>
    </row>
    <row r="4" spans="1:18">
      <c r="A4" s="1406" t="s">
        <v>984</v>
      </c>
      <c r="O4" s="1409" t="s">
        <v>985</v>
      </c>
    </row>
    <row r="5" spans="1:18">
      <c r="A5" s="1406" t="s">
        <v>986</v>
      </c>
    </row>
    <row r="6" spans="1:18">
      <c r="A6" s="1406" t="s">
        <v>893</v>
      </c>
    </row>
    <row r="7" spans="1:18">
      <c r="A7" s="1520" t="s">
        <v>987</v>
      </c>
      <c r="B7" s="1520"/>
      <c r="C7" s="1520"/>
      <c r="D7" s="1520"/>
      <c r="E7" s="1520"/>
      <c r="F7" s="1520"/>
      <c r="G7" s="1520"/>
      <c r="H7" s="1520"/>
      <c r="I7" s="1520"/>
      <c r="J7" s="1520"/>
      <c r="K7" s="1520"/>
      <c r="L7" s="1520"/>
      <c r="M7" s="1413"/>
      <c r="N7" s="1414"/>
      <c r="O7" s="1414"/>
    </row>
    <row r="9" spans="1:18">
      <c r="A9" s="1415" t="s">
        <v>448</v>
      </c>
      <c r="B9" s="1416" t="s">
        <v>449</v>
      </c>
      <c r="C9" s="1416"/>
      <c r="D9" s="1416" t="s">
        <v>450</v>
      </c>
      <c r="E9" s="1416" t="s">
        <v>451</v>
      </c>
      <c r="F9" s="1416" t="s">
        <v>452</v>
      </c>
      <c r="G9" s="1416"/>
      <c r="H9" s="1416" t="s">
        <v>988</v>
      </c>
      <c r="I9" s="1416"/>
      <c r="J9" s="1416" t="s">
        <v>454</v>
      </c>
      <c r="K9" s="1416"/>
      <c r="L9" s="1416" t="s">
        <v>989</v>
      </c>
      <c r="M9" s="1416" t="s">
        <v>456</v>
      </c>
      <c r="N9" s="1416"/>
      <c r="O9" s="1416" t="s">
        <v>990</v>
      </c>
      <c r="R9" s="1521"/>
    </row>
    <row r="10" spans="1:18">
      <c r="A10" s="1417"/>
      <c r="F10" s="1418"/>
      <c r="G10" s="1418"/>
      <c r="H10" s="1418"/>
      <c r="R10" s="1521"/>
    </row>
    <row r="11" spans="1:18" ht="38.25">
      <c r="A11" s="1417" t="s">
        <v>991</v>
      </c>
      <c r="B11" s="1407" t="s">
        <v>992</v>
      </c>
      <c r="D11" s="1419" t="s">
        <v>993</v>
      </c>
      <c r="E11" s="1416" t="s">
        <v>906</v>
      </c>
      <c r="F11" s="1420" t="s">
        <v>994</v>
      </c>
      <c r="G11" s="1420"/>
      <c r="H11" s="1420" t="s">
        <v>995</v>
      </c>
      <c r="I11" s="1421"/>
      <c r="J11" s="1420" t="s">
        <v>996</v>
      </c>
      <c r="K11" s="1422"/>
      <c r="L11" s="1420" t="s">
        <v>997</v>
      </c>
      <c r="M11" s="1420" t="s">
        <v>998</v>
      </c>
      <c r="O11" s="1419" t="s">
        <v>999</v>
      </c>
    </row>
    <row r="12" spans="1:18">
      <c r="D12" s="1410"/>
      <c r="E12" s="1410"/>
      <c r="F12" s="1410"/>
      <c r="G12" s="1410"/>
      <c r="H12" s="1410"/>
      <c r="I12" s="1410"/>
      <c r="J12" s="1410"/>
      <c r="K12" s="1410"/>
      <c r="L12" s="1423"/>
      <c r="M12" s="1423"/>
      <c r="N12" s="1410"/>
      <c r="O12" s="1410"/>
    </row>
    <row r="13" spans="1:18">
      <c r="A13" s="1415" t="s">
        <v>1000</v>
      </c>
      <c r="B13" s="1424" t="s">
        <v>1001</v>
      </c>
      <c r="D13" s="1410">
        <v>9916884</v>
      </c>
      <c r="E13" s="1410" t="s">
        <v>1002</v>
      </c>
      <c r="F13" s="1423">
        <v>3966092.89</v>
      </c>
      <c r="G13" s="1425"/>
      <c r="H13" s="1426">
        <f>+F13/D13</f>
        <v>0.39993337524165856</v>
      </c>
      <c r="I13" s="1427"/>
      <c r="J13" s="1423">
        <f>-F13</f>
        <v>-3966092.89</v>
      </c>
      <c r="K13" s="1410"/>
      <c r="L13" s="1423">
        <f>+F13+J13</f>
        <v>0</v>
      </c>
      <c r="M13" s="1423"/>
      <c r="N13" s="1410"/>
      <c r="O13" s="1410">
        <f>+D13-L13</f>
        <v>9916884</v>
      </c>
    </row>
    <row r="14" spans="1:18">
      <c r="A14" s="1417"/>
      <c r="B14" s="1424"/>
      <c r="D14" s="1410"/>
      <c r="E14" s="1410"/>
      <c r="F14" s="1428"/>
      <c r="G14" s="1429"/>
      <c r="H14" s="1426"/>
      <c r="I14" s="1427"/>
      <c r="J14" s="1423"/>
      <c r="K14" s="1410"/>
      <c r="L14" s="1423"/>
      <c r="M14" s="1423"/>
      <c r="N14" s="1410"/>
      <c r="O14" s="1410"/>
    </row>
    <row r="15" spans="1:18" ht="15">
      <c r="A15" s="1430">
        <f>+A13+1</f>
        <v>2</v>
      </c>
      <c r="B15" s="1424" t="s">
        <v>1003</v>
      </c>
      <c r="D15" s="1410">
        <v>-259292066</v>
      </c>
      <c r="E15" s="1410" t="s">
        <v>1004</v>
      </c>
      <c r="F15" s="1423">
        <v>-103716826.31</v>
      </c>
      <c r="G15" s="1429"/>
      <c r="H15" s="1426">
        <f>+F15/D15</f>
        <v>0.39999999965290106</v>
      </c>
      <c r="I15" s="1431"/>
      <c r="J15" s="1423">
        <v>0</v>
      </c>
      <c r="K15" s="1410"/>
      <c r="L15" s="1423">
        <f>+F15-L16</f>
        <v>-106249253.31</v>
      </c>
      <c r="M15" s="1423" t="s">
        <v>917</v>
      </c>
      <c r="N15" s="1410"/>
      <c r="O15" s="1432">
        <f>+D15-L15-L16</f>
        <v>-155575239.69</v>
      </c>
      <c r="P15" s="1433"/>
      <c r="Q15" s="1433"/>
    </row>
    <row r="16" spans="1:18" ht="15">
      <c r="A16" s="1417"/>
      <c r="B16" s="1424"/>
      <c r="D16" s="1410"/>
      <c r="E16" s="1410"/>
      <c r="F16" s="1434"/>
      <c r="G16" s="1435"/>
      <c r="H16" s="1435"/>
      <c r="I16" s="1431"/>
      <c r="J16" s="1423"/>
      <c r="K16" s="1410"/>
      <c r="L16" s="1423">
        <v>2532427</v>
      </c>
      <c r="M16" s="1423" t="s">
        <v>921</v>
      </c>
      <c r="N16" s="1410"/>
      <c r="O16" s="1432"/>
      <c r="P16" s="1433"/>
      <c r="Q16" s="1433"/>
    </row>
    <row r="17" spans="1:17" ht="15">
      <c r="A17" s="1417"/>
      <c r="B17" s="1424"/>
      <c r="D17" s="1410"/>
      <c r="E17" s="1410"/>
      <c r="F17" s="1434"/>
      <c r="G17" s="1435"/>
      <c r="H17" s="1435"/>
      <c r="I17" s="1431"/>
      <c r="J17" s="1423"/>
      <c r="K17" s="1410"/>
      <c r="L17" s="1423"/>
      <c r="M17" s="1423"/>
      <c r="N17" s="1410"/>
      <c r="O17" s="1432"/>
      <c r="P17" s="1433"/>
      <c r="Q17" s="1433"/>
    </row>
    <row r="18" spans="1:17" ht="15">
      <c r="A18" s="1430">
        <f>+A15+1</f>
        <v>3</v>
      </c>
      <c r="B18" s="1424" t="s">
        <v>1005</v>
      </c>
      <c r="D18" s="1410">
        <v>0</v>
      </c>
      <c r="E18" s="1410" t="s">
        <v>1006</v>
      </c>
      <c r="F18" s="1423">
        <v>0</v>
      </c>
      <c r="G18" s="1429"/>
      <c r="H18" s="1436" t="s">
        <v>912</v>
      </c>
      <c r="I18" s="1437"/>
      <c r="J18" s="1423">
        <f>-J13-J15</f>
        <v>3966092.89</v>
      </c>
      <c r="K18" s="1410"/>
      <c r="L18" s="1423">
        <f>+F18+J18</f>
        <v>3966092.89</v>
      </c>
      <c r="M18" s="1423" t="s">
        <v>921</v>
      </c>
      <c r="N18" s="1410"/>
      <c r="O18" s="1432">
        <f>+D18-L18</f>
        <v>-3966092.89</v>
      </c>
      <c r="P18" s="1433"/>
      <c r="Q18" s="1433"/>
    </row>
    <row r="19" spans="1:17">
      <c r="B19" s="1424"/>
      <c r="E19" s="1410"/>
      <c r="F19" s="1423"/>
      <c r="G19" s="1429"/>
      <c r="H19" s="1429"/>
      <c r="I19" s="1423"/>
      <c r="J19" s="1423"/>
      <c r="K19" s="1410"/>
      <c r="L19" s="1423"/>
      <c r="M19" s="1423"/>
      <c r="N19" s="1410"/>
      <c r="O19" s="1410"/>
    </row>
    <row r="20" spans="1:17" ht="15">
      <c r="A20" s="1430">
        <f>+A18+1</f>
        <v>4</v>
      </c>
      <c r="B20" s="1407" t="s">
        <v>420</v>
      </c>
      <c r="D20" s="1438">
        <f>+D18+D15+D13</f>
        <v>-249375182</v>
      </c>
      <c r="E20" s="1410"/>
      <c r="F20" s="1438">
        <f>SUM(F13:F16)</f>
        <v>-99750733.420000002</v>
      </c>
      <c r="G20" s="1433"/>
      <c r="H20" s="1433"/>
      <c r="J20" s="1438">
        <f>SUM(J13:J18)</f>
        <v>0</v>
      </c>
      <c r="K20" s="1410"/>
      <c r="L20" s="1439">
        <f>SUM(L13:L18)</f>
        <v>-99750733.420000002</v>
      </c>
      <c r="M20" s="1440"/>
      <c r="N20" s="1410"/>
      <c r="O20" s="1439">
        <f>SUM(O13:O18)</f>
        <v>-149624448.57999998</v>
      </c>
      <c r="P20" s="1441"/>
    </row>
    <row r="21" spans="1:17">
      <c r="D21" s="1410"/>
      <c r="E21" s="1410"/>
      <c r="F21" s="1442"/>
      <c r="G21" s="1442"/>
      <c r="H21" s="1442"/>
      <c r="I21" s="1410"/>
      <c r="J21" s="1410"/>
      <c r="K21" s="1410"/>
      <c r="L21" s="1423"/>
      <c r="M21" s="1423"/>
      <c r="N21" s="1410"/>
      <c r="O21" s="1410"/>
    </row>
    <row r="22" spans="1:17" ht="15">
      <c r="A22" s="1407"/>
      <c r="F22" s="1433"/>
      <c r="I22" s="1410"/>
      <c r="J22" s="1410"/>
      <c r="K22" s="1410"/>
      <c r="N22" s="1410"/>
      <c r="O22" s="1432"/>
    </row>
    <row r="23" spans="1:17">
      <c r="O23" s="1443"/>
    </row>
    <row r="24" spans="1:17" ht="12.6" customHeight="1">
      <c r="A24" s="1522" t="s">
        <v>1007</v>
      </c>
      <c r="B24" s="1522"/>
      <c r="C24" s="1522"/>
      <c r="D24" s="1522"/>
      <c r="E24" s="1522"/>
      <c r="F24" s="1522"/>
      <c r="G24" s="1522"/>
      <c r="H24" s="1522"/>
      <c r="I24" s="1522"/>
      <c r="J24" s="1444"/>
    </row>
    <row r="25" spans="1:17">
      <c r="A25" s="1522"/>
      <c r="B25" s="1522"/>
      <c r="C25" s="1522"/>
      <c r="D25" s="1522"/>
      <c r="E25" s="1522"/>
      <c r="F25" s="1522"/>
      <c r="G25" s="1522"/>
      <c r="H25" s="1522"/>
      <c r="I25" s="1522"/>
      <c r="J25" s="1444"/>
    </row>
    <row r="26" spans="1:17">
      <c r="A26" s="1522"/>
      <c r="B26" s="1522"/>
      <c r="C26" s="1522"/>
      <c r="D26" s="1522"/>
      <c r="E26" s="1522"/>
      <c r="F26" s="1522"/>
      <c r="G26" s="1522"/>
      <c r="H26" s="1522"/>
      <c r="I26" s="1522"/>
      <c r="J26" s="1444"/>
    </row>
    <row r="27" spans="1:17">
      <c r="A27" s="1417"/>
      <c r="B27" s="1444"/>
      <c r="C27" s="1444"/>
      <c r="D27" s="1444"/>
      <c r="E27" s="1444"/>
      <c r="F27" s="1444"/>
      <c r="G27" s="1444"/>
      <c r="H27" s="1444"/>
      <c r="J27" s="1444"/>
    </row>
    <row r="28" spans="1:17" ht="12.75" customHeight="1">
      <c r="A28" s="1445" t="s">
        <v>1008</v>
      </c>
      <c r="B28" s="1523" t="s">
        <v>1009</v>
      </c>
      <c r="C28" s="1523"/>
      <c r="D28" s="1523"/>
      <c r="E28" s="1523"/>
      <c r="F28" s="1523"/>
      <c r="G28" s="1523"/>
      <c r="H28" s="1523"/>
      <c r="I28" s="1523"/>
      <c r="J28" s="1523"/>
      <c r="K28" s="1523"/>
    </row>
    <row r="29" spans="1:17">
      <c r="A29" s="1407"/>
      <c r="B29" s="1523"/>
      <c r="C29" s="1523"/>
      <c r="D29" s="1523"/>
      <c r="E29" s="1523"/>
      <c r="F29" s="1523"/>
      <c r="G29" s="1523"/>
      <c r="H29" s="1523"/>
      <c r="I29" s="1523"/>
      <c r="J29" s="1523"/>
      <c r="K29" s="1523"/>
    </row>
    <row r="30" spans="1:17">
      <c r="A30" s="1417"/>
      <c r="B30" s="1523"/>
      <c r="C30" s="1523"/>
      <c r="D30" s="1523"/>
      <c r="E30" s="1523"/>
      <c r="F30" s="1523"/>
      <c r="G30" s="1523"/>
      <c r="H30" s="1523"/>
      <c r="I30" s="1523"/>
      <c r="J30" s="1523"/>
      <c r="K30" s="1523"/>
    </row>
    <row r="31" spans="1:17" ht="12.6" customHeight="1">
      <c r="A31" s="1407"/>
      <c r="J31" s="1410"/>
    </row>
    <row r="32" spans="1:17" ht="15">
      <c r="A32" s="1417" t="s">
        <v>1010</v>
      </c>
      <c r="B32" s="1524" t="s">
        <v>1011</v>
      </c>
      <c r="C32" s="1524"/>
      <c r="D32" s="1524"/>
      <c r="E32" s="1524"/>
      <c r="F32" s="1524"/>
      <c r="G32" s="1524"/>
      <c r="H32" s="1524"/>
      <c r="J32" s="1410"/>
      <c r="K32" s="1433"/>
      <c r="L32" s="1433"/>
      <c r="M32" s="1433"/>
      <c r="N32" s="1433"/>
      <c r="O32" s="1433"/>
    </row>
    <row r="33" spans="1:15" ht="15">
      <c r="A33" s="1417"/>
      <c r="B33" s="1524"/>
      <c r="C33" s="1524"/>
      <c r="D33" s="1524"/>
      <c r="E33" s="1524"/>
      <c r="F33" s="1524"/>
      <c r="G33" s="1524"/>
      <c r="H33" s="1524"/>
      <c r="J33" s="1433"/>
      <c r="K33" s="1433"/>
      <c r="L33" s="1433"/>
      <c r="M33" s="1433"/>
      <c r="N33" s="1433"/>
      <c r="O33" s="1433"/>
    </row>
    <row r="34" spans="1:15" ht="15" customHeight="1">
      <c r="A34" s="1407"/>
      <c r="J34" s="1433"/>
      <c r="K34" s="1433"/>
      <c r="L34" s="1433"/>
      <c r="M34" s="1433"/>
      <c r="N34" s="1433"/>
      <c r="O34" s="1433"/>
    </row>
    <row r="35" spans="1:15" ht="15">
      <c r="A35" s="1417" t="s">
        <v>1012</v>
      </c>
      <c r="B35" s="1525" t="s">
        <v>1013</v>
      </c>
      <c r="C35" s="1525"/>
      <c r="D35" s="1525"/>
      <c r="E35" s="1525"/>
      <c r="F35" s="1525"/>
      <c r="G35" s="1525"/>
      <c r="H35" s="1525"/>
      <c r="I35" s="1525"/>
      <c r="J35" s="1433"/>
      <c r="K35" s="1433"/>
      <c r="L35" s="1433"/>
      <c r="M35" s="1433"/>
      <c r="N35" s="1433"/>
      <c r="O35" s="1433"/>
    </row>
    <row r="36" spans="1:15" ht="15">
      <c r="A36" s="1417"/>
      <c r="B36" s="1525"/>
      <c r="C36" s="1525"/>
      <c r="D36" s="1525"/>
      <c r="E36" s="1525"/>
      <c r="F36" s="1525"/>
      <c r="G36" s="1525"/>
      <c r="H36" s="1525"/>
      <c r="I36" s="1525"/>
      <c r="J36" s="1433"/>
      <c r="K36" s="1433"/>
      <c r="L36" s="1433"/>
      <c r="M36" s="1433"/>
      <c r="N36" s="1433"/>
      <c r="O36" s="1433"/>
    </row>
    <row r="37" spans="1:15" ht="15">
      <c r="A37" s="1433"/>
      <c r="B37" s="1433"/>
      <c r="C37" s="1433"/>
      <c r="D37" s="1433"/>
      <c r="E37" s="1433"/>
      <c r="F37" s="1433"/>
      <c r="G37" s="1433"/>
      <c r="H37" s="1433"/>
      <c r="I37" s="1433"/>
      <c r="J37" s="1433"/>
      <c r="K37" s="1433"/>
      <c r="L37" s="1433"/>
      <c r="M37" s="1433"/>
      <c r="N37" s="1433"/>
      <c r="O37" s="1433"/>
    </row>
    <row r="38" spans="1:15" ht="15" customHeight="1">
      <c r="A38" s="1417" t="s">
        <v>1014</v>
      </c>
      <c r="B38" s="1519" t="s">
        <v>1015</v>
      </c>
      <c r="C38" s="1519"/>
      <c r="D38" s="1519"/>
      <c r="E38" s="1519"/>
      <c r="F38" s="1519"/>
      <c r="G38" s="1519"/>
      <c r="H38" s="1519"/>
      <c r="I38" s="1519"/>
      <c r="J38" s="1519"/>
      <c r="K38" s="1519"/>
      <c r="L38" s="1519"/>
      <c r="M38" s="1433"/>
      <c r="N38" s="1433"/>
      <c r="O38" s="1433"/>
    </row>
    <row r="39" spans="1:15" ht="15">
      <c r="A39" s="1417"/>
      <c r="B39" s="1519"/>
      <c r="C39" s="1519"/>
      <c r="D39" s="1519"/>
      <c r="E39" s="1519"/>
      <c r="F39" s="1519"/>
      <c r="G39" s="1519"/>
      <c r="H39" s="1519"/>
      <c r="I39" s="1519"/>
      <c r="J39" s="1519"/>
      <c r="K39" s="1519"/>
      <c r="L39" s="1519"/>
      <c r="M39" s="1433"/>
      <c r="N39" s="1433"/>
      <c r="O39" s="1433"/>
    </row>
    <row r="40" spans="1:15" ht="15">
      <c r="A40" s="1433"/>
      <c r="B40" s="1433"/>
      <c r="C40" s="1433"/>
      <c r="D40" s="1433"/>
      <c r="E40" s="1433"/>
      <c r="F40" s="1433"/>
      <c r="G40" s="1446"/>
      <c r="H40" s="1446"/>
      <c r="I40" s="1446"/>
      <c r="J40" s="1433"/>
      <c r="K40" s="1433"/>
      <c r="L40" s="1433"/>
      <c r="M40" s="1433"/>
      <c r="N40" s="1433"/>
      <c r="O40" s="1433"/>
    </row>
    <row r="41" spans="1:15" ht="15">
      <c r="A41" s="1433"/>
      <c r="B41" s="1433"/>
      <c r="C41" s="1433"/>
      <c r="D41" s="1433"/>
      <c r="E41" s="1433"/>
      <c r="F41" s="1433"/>
      <c r="G41" s="1446"/>
      <c r="H41" s="1446"/>
      <c r="I41" s="1446"/>
      <c r="J41" s="1433"/>
      <c r="K41" s="1433"/>
      <c r="L41" s="1433"/>
      <c r="M41" s="1433"/>
      <c r="N41" s="1433"/>
      <c r="O41" s="1433"/>
    </row>
    <row r="42" spans="1:15" ht="15">
      <c r="A42" s="1433"/>
      <c r="B42" s="1433"/>
      <c r="C42" s="1433"/>
      <c r="D42" s="1433"/>
      <c r="E42" s="1433"/>
      <c r="F42" s="1433"/>
      <c r="G42" s="1446"/>
      <c r="H42" s="1446"/>
      <c r="I42" s="1446"/>
      <c r="J42" s="1433"/>
      <c r="K42" s="1433"/>
      <c r="L42" s="1433"/>
      <c r="M42" s="1433"/>
      <c r="N42" s="1433"/>
      <c r="O42" s="1433"/>
    </row>
    <row r="43" spans="1:15" ht="15">
      <c r="A43" s="1433"/>
      <c r="B43" s="1433"/>
      <c r="C43" s="1433"/>
      <c r="D43" s="1433"/>
      <c r="E43" s="1433"/>
      <c r="F43" s="1433"/>
      <c r="G43" s="1446"/>
      <c r="H43" s="1446"/>
      <c r="I43" s="1446"/>
      <c r="J43" s="1433"/>
      <c r="K43" s="1433"/>
      <c r="L43" s="1433"/>
      <c r="M43" s="1433"/>
      <c r="N43" s="1433"/>
      <c r="O43" s="1433"/>
    </row>
    <row r="44" spans="1:15" ht="15">
      <c r="D44" s="1446"/>
      <c r="E44" s="1446"/>
      <c r="F44" s="1446"/>
      <c r="G44" s="1446"/>
      <c r="H44" s="1446"/>
      <c r="I44" s="1446"/>
      <c r="J44" s="1433"/>
      <c r="K44" s="1433"/>
      <c r="L44" s="1433"/>
      <c r="M44" s="1433"/>
      <c r="N44" s="1433"/>
      <c r="O44" s="1433"/>
    </row>
    <row r="45" spans="1:15" ht="15">
      <c r="D45" s="1446"/>
      <c r="E45" s="1446"/>
      <c r="F45" s="1446"/>
      <c r="G45" s="1446"/>
      <c r="H45" s="1446"/>
      <c r="I45" s="1446"/>
      <c r="J45" s="1433"/>
      <c r="K45" s="1433"/>
      <c r="L45" s="1433"/>
      <c r="M45" s="1433"/>
      <c r="N45" s="1433"/>
      <c r="O45" s="1433"/>
    </row>
    <row r="46" spans="1:15" ht="15">
      <c r="D46" s="1446"/>
      <c r="E46" s="1446"/>
      <c r="F46" s="1446"/>
      <c r="G46" s="1446"/>
      <c r="H46" s="1446"/>
      <c r="I46" s="1446"/>
      <c r="J46" s="1433"/>
      <c r="K46" s="1433"/>
      <c r="L46" s="1433"/>
      <c r="M46" s="1433"/>
      <c r="N46" s="1433"/>
      <c r="O46" s="1433"/>
    </row>
    <row r="47" spans="1:15" ht="15">
      <c r="J47" s="1433"/>
      <c r="K47" s="1433"/>
      <c r="L47" s="1433"/>
      <c r="M47" s="1433"/>
      <c r="N47" s="1433"/>
      <c r="O47" s="1433"/>
    </row>
  </sheetData>
  <mergeCells count="7">
    <mergeCell ref="B38:L39"/>
    <mergeCell ref="A7:L7"/>
    <mergeCell ref="R9:R10"/>
    <mergeCell ref="A24:I26"/>
    <mergeCell ref="B28:K30"/>
    <mergeCell ref="B32:H33"/>
    <mergeCell ref="B35:I36"/>
  </mergeCells>
  <pageMargins left="0.7" right="0.7" top="0.75" bottom="0.75" header="0.3" footer="0.3"/>
  <pageSetup scale="67"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zoomScale="85" zoomScaleNormal="75" zoomScaleSheetLayoutView="85" workbookViewId="0">
      <selection activeCell="E18" sqref="E18"/>
    </sheetView>
  </sheetViews>
  <sheetFormatPr defaultColWidth="11.42578125" defaultRowHeight="12.75"/>
  <cols>
    <col min="1" max="1" width="8.140625" style="416" customWidth="1"/>
    <col min="2" max="2" width="12.140625" style="414" customWidth="1"/>
    <col min="3" max="3" width="41.7109375" style="414" customWidth="1"/>
    <col min="4" max="4" width="30" style="414" customWidth="1"/>
    <col min="5" max="5" width="22.140625" style="419" customWidth="1"/>
    <col min="6" max="6" width="1" style="419" customWidth="1"/>
    <col min="7" max="7" width="20.85546875" style="414" customWidth="1"/>
    <col min="8" max="8" width="1" style="414" customWidth="1"/>
    <col min="9" max="9" width="19.140625" style="414" customWidth="1"/>
    <col min="10" max="10" width="16.7109375" style="414" customWidth="1"/>
    <col min="11" max="11" width="15.28515625" style="414" customWidth="1"/>
    <col min="12" max="12" width="34" style="414" customWidth="1"/>
    <col min="13" max="13" width="21.28515625" style="414" customWidth="1"/>
    <col min="14" max="14" width="13.42578125" style="414" customWidth="1"/>
    <col min="15" max="15" width="13.7109375" style="414" customWidth="1"/>
    <col min="16" max="16384" width="11.42578125" style="414"/>
  </cols>
  <sheetData>
    <row r="1" spans="1:15" ht="15.75">
      <c r="A1" s="995" t="s">
        <v>416</v>
      </c>
    </row>
    <row r="2" spans="1:15" ht="15.75">
      <c r="A2" s="995" t="s">
        <v>416</v>
      </c>
    </row>
    <row r="3" spans="1:15" ht="15">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1497" t="str">
        <f>TCOS!$F$5</f>
        <v>AEPTCo subsidiaries in PJM</v>
      </c>
      <c r="G3" s="1497" t="str">
        <f>TCOS!$F$5</f>
        <v>AEPTCo subsidiaries in PJM</v>
      </c>
      <c r="H3" s="1497" t="str">
        <f>TCOS!$F$5</f>
        <v>AEPTCo subsidiaries in PJM</v>
      </c>
      <c r="I3" s="1497" t="str">
        <f>TCOS!$F$5</f>
        <v>AEPTCo subsidiaries in PJM</v>
      </c>
      <c r="J3" s="1497" t="str">
        <f>TCOS!$F$5</f>
        <v>AEPTCo subsidiaries in PJM</v>
      </c>
      <c r="K3" s="1497" t="str">
        <f>TCOS!$F$5</f>
        <v>AEPTCo subsidiaries in PJM</v>
      </c>
      <c r="L3" s="1497" t="str">
        <f>TCOS!$F$5</f>
        <v>AEPTCo subsidiaries in PJM</v>
      </c>
      <c r="M3" s="413"/>
      <c r="N3" s="413"/>
      <c r="O3" s="413"/>
    </row>
    <row r="4" spans="1:15" ht="15">
      <c r="A4" s="1528" t="str">
        <f>"Cost of Service Formula Rate Using Actual/Projected FF1 Balances"</f>
        <v>Cost of Service Formula Rate Using Actual/Projected FF1 Balances</v>
      </c>
      <c r="B4" s="1528"/>
      <c r="C4" s="1528"/>
      <c r="D4" s="1528"/>
      <c r="E4" s="1528"/>
      <c r="F4" s="1528"/>
      <c r="G4" s="1528"/>
      <c r="H4" s="1528"/>
      <c r="I4" s="1528"/>
      <c r="J4" s="1528"/>
      <c r="K4" s="1528"/>
      <c r="L4" s="1528"/>
      <c r="M4" s="433"/>
      <c r="N4" s="433"/>
      <c r="O4" s="433"/>
    </row>
    <row r="5" spans="1:15" ht="15">
      <c r="A5" s="1528" t="s">
        <v>293</v>
      </c>
      <c r="B5" s="1528"/>
      <c r="C5" s="1528"/>
      <c r="D5" s="1528"/>
      <c r="E5" s="1528"/>
      <c r="F5" s="1528"/>
      <c r="G5" s="1528"/>
      <c r="H5" s="1528"/>
      <c r="I5" s="1528"/>
      <c r="J5" s="1528"/>
      <c r="K5" s="1528"/>
      <c r="L5" s="1528"/>
      <c r="M5" s="415"/>
      <c r="N5" s="415"/>
      <c r="O5" s="415"/>
    </row>
    <row r="6" spans="1:15" ht="15">
      <c r="A6" s="1529" t="str">
        <f>TCOS!F9</f>
        <v>AEP Indiana Michigan Transmission Company</v>
      </c>
      <c r="B6" s="1529"/>
      <c r="C6" s="1529"/>
      <c r="D6" s="1529"/>
      <c r="E6" s="1529"/>
      <c r="F6" s="1529"/>
      <c r="G6" s="1529"/>
      <c r="H6" s="1529"/>
      <c r="I6" s="1529"/>
      <c r="J6" s="1529"/>
      <c r="K6" s="1529"/>
      <c r="L6" s="1529"/>
      <c r="M6" s="168"/>
      <c r="N6" s="168"/>
      <c r="O6" s="168"/>
    </row>
    <row r="7" spans="1:15" ht="15">
      <c r="A7" s="168"/>
      <c r="B7" s="168"/>
      <c r="C7" s="168"/>
      <c r="D7" s="168"/>
      <c r="E7" s="168"/>
      <c r="F7" s="168"/>
      <c r="G7" s="168"/>
      <c r="H7" s="434"/>
      <c r="I7" s="429"/>
      <c r="J7" s="429"/>
      <c r="K7" s="429"/>
      <c r="L7" s="429"/>
      <c r="M7" s="429"/>
      <c r="N7" s="429"/>
      <c r="O7" s="429"/>
    </row>
    <row r="8" spans="1:15" ht="12.75" customHeight="1">
      <c r="A8" s="435"/>
      <c r="B8" s="435" t="s">
        <v>462</v>
      </c>
      <c r="C8" s="435" t="s">
        <v>463</v>
      </c>
      <c r="D8" s="436" t="s">
        <v>333</v>
      </c>
      <c r="E8" s="436" t="s">
        <v>465</v>
      </c>
      <c r="F8" s="435"/>
      <c r="G8" s="435" t="s">
        <v>385</v>
      </c>
      <c r="H8" s="435"/>
      <c r="I8" s="435" t="s">
        <v>386</v>
      </c>
      <c r="J8" s="435" t="s">
        <v>387</v>
      </c>
      <c r="K8" s="435" t="s">
        <v>392</v>
      </c>
      <c r="L8" s="435" t="s">
        <v>298</v>
      </c>
      <c r="M8" s="435"/>
      <c r="N8" s="435"/>
      <c r="O8" s="435"/>
    </row>
    <row r="9" spans="1:15">
      <c r="A9" s="430"/>
    </row>
    <row r="10" spans="1:15" ht="18">
      <c r="A10" s="421"/>
      <c r="B10" s="1527" t="s">
        <v>499</v>
      </c>
      <c r="C10" s="1527"/>
      <c r="D10" s="1527"/>
      <c r="E10" s="1527"/>
      <c r="F10" s="1527"/>
      <c r="G10" s="1527"/>
      <c r="H10" s="1527"/>
      <c r="I10" s="1527"/>
      <c r="J10" s="1527"/>
      <c r="K10" s="1527"/>
      <c r="O10" s="419"/>
    </row>
    <row r="11" spans="1:15">
      <c r="A11" s="421"/>
      <c r="I11" s="156"/>
      <c r="J11" s="156"/>
      <c r="O11" s="419"/>
    </row>
    <row r="12" spans="1:15" ht="12.75" customHeight="1">
      <c r="A12" s="417" t="s">
        <v>469</v>
      </c>
      <c r="B12" s="425"/>
      <c r="C12" s="437"/>
      <c r="D12" s="438"/>
      <c r="E12" s="1531" t="str">
        <f>"Balance @ December 31, "&amp;TCOS!L4&amp;""</f>
        <v>Balance @ December 31, 2022</v>
      </c>
      <c r="F12" s="438"/>
      <c r="G12" s="1531" t="str">
        <f>"Balance @ December 31, "&amp;TCOS!L4-1&amp;""</f>
        <v>Balance @ December 31, 2021</v>
      </c>
      <c r="H12" s="439"/>
      <c r="I12" s="1533" t="str">
        <f>"Average Balance for "&amp;TCOS!L4&amp;""</f>
        <v>Average Balance for 2022</v>
      </c>
      <c r="J12" s="418"/>
      <c r="K12" s="422"/>
      <c r="L12" s="440"/>
      <c r="M12" s="422"/>
      <c r="N12" s="422"/>
      <c r="O12" s="419"/>
    </row>
    <row r="13" spans="1:15">
      <c r="A13" s="417" t="s">
        <v>407</v>
      </c>
      <c r="B13" s="423"/>
      <c r="C13" s="425"/>
      <c r="D13" s="441" t="s">
        <v>498</v>
      </c>
      <c r="E13" s="1532"/>
      <c r="F13" s="442"/>
      <c r="G13" s="1532"/>
      <c r="H13" s="443"/>
      <c r="I13" s="1534"/>
      <c r="J13" s="418"/>
      <c r="K13" s="444"/>
      <c r="L13" s="445"/>
      <c r="M13" s="420"/>
      <c r="N13" s="420"/>
    </row>
    <row r="14" spans="1:15">
      <c r="A14" s="423"/>
      <c r="B14" s="423"/>
      <c r="C14" s="425"/>
      <c r="D14" s="446"/>
      <c r="E14" s="428"/>
      <c r="F14" s="428"/>
      <c r="G14" s="447"/>
      <c r="H14" s="427"/>
      <c r="J14" s="156"/>
      <c r="K14" s="444"/>
      <c r="L14" s="445"/>
      <c r="M14" s="420"/>
      <c r="N14" s="420"/>
    </row>
    <row r="15" spans="1:15">
      <c r="A15" s="423">
        <v>1</v>
      </c>
      <c r="B15" s="423"/>
      <c r="D15" s="448"/>
      <c r="E15" s="449"/>
      <c r="F15" s="428"/>
      <c r="G15" s="449"/>
      <c r="H15" s="449"/>
      <c r="I15" s="449"/>
      <c r="K15" s="449"/>
      <c r="L15" s="449"/>
      <c r="M15" s="420"/>
      <c r="N15" s="420"/>
    </row>
    <row r="16" spans="1:15">
      <c r="A16" s="423"/>
      <c r="B16" s="423"/>
      <c r="C16" s="448"/>
      <c r="D16" s="448"/>
      <c r="E16" s="449"/>
      <c r="F16" s="428"/>
      <c r="G16" s="449"/>
      <c r="H16" s="449"/>
      <c r="I16" s="449"/>
      <c r="K16" s="449"/>
      <c r="L16" s="449"/>
      <c r="M16" s="420"/>
      <c r="N16" s="420"/>
    </row>
    <row r="17" spans="1:14">
      <c r="A17" s="423">
        <f>+A15+1</f>
        <v>2</v>
      </c>
      <c r="B17" s="423"/>
      <c r="C17" s="448" t="s">
        <v>326</v>
      </c>
      <c r="D17" s="424" t="s">
        <v>220</v>
      </c>
      <c r="E17" s="1319">
        <v>-26</v>
      </c>
      <c r="F17" s="428"/>
      <c r="G17" s="1319">
        <v>154</v>
      </c>
      <c r="H17" s="449"/>
      <c r="I17" s="426">
        <f>IF(G17="",0,(E17+G17)/2)</f>
        <v>64</v>
      </c>
      <c r="J17" s="172"/>
      <c r="K17" s="426"/>
      <c r="L17" s="449"/>
      <c r="M17" s="420"/>
      <c r="N17" s="420"/>
    </row>
    <row r="18" spans="1:14">
      <c r="A18" s="423"/>
      <c r="B18" s="423"/>
      <c r="C18" s="448"/>
      <c r="D18" s="172"/>
      <c r="E18" s="172"/>
      <c r="F18" s="172"/>
      <c r="G18" s="172"/>
      <c r="H18" s="172"/>
      <c r="I18" s="341"/>
      <c r="J18" s="172"/>
      <c r="K18" s="172"/>
      <c r="L18" s="449"/>
      <c r="M18" s="420"/>
      <c r="N18" s="420"/>
    </row>
    <row r="19" spans="1:14">
      <c r="A19" s="423">
        <f>+A17+1</f>
        <v>3</v>
      </c>
      <c r="B19" s="423"/>
      <c r="C19" s="448" t="s">
        <v>327</v>
      </c>
      <c r="D19" s="424" t="s">
        <v>221</v>
      </c>
      <c r="E19" s="491"/>
      <c r="F19" s="428"/>
      <c r="G19" s="491"/>
      <c r="H19" s="427"/>
      <c r="I19" s="426">
        <f>IF(G19="",0,(E19+G19)/2)</f>
        <v>0</v>
      </c>
      <c r="J19" s="156"/>
      <c r="K19" s="444"/>
      <c r="L19" s="445"/>
      <c r="M19" s="420"/>
      <c r="N19" s="420"/>
    </row>
    <row r="20" spans="1:14">
      <c r="A20" s="423"/>
      <c r="B20" s="423"/>
      <c r="C20" s="448"/>
      <c r="D20" s="424"/>
      <c r="E20" s="172"/>
      <c r="F20" s="172"/>
      <c r="G20" s="172"/>
      <c r="H20" s="172"/>
      <c r="I20" s="172"/>
      <c r="J20" s="172"/>
      <c r="K20" s="444"/>
      <c r="L20" s="445"/>
      <c r="M20" s="420"/>
      <c r="N20" s="420"/>
    </row>
    <row r="21" spans="1:14">
      <c r="A21" s="423">
        <f>+A19+1</f>
        <v>4</v>
      </c>
      <c r="B21" s="423"/>
      <c r="C21" s="42" t="s">
        <v>768</v>
      </c>
      <c r="D21" s="424" t="s">
        <v>222</v>
      </c>
      <c r="E21" s="491"/>
      <c r="F21" s="428"/>
      <c r="G21" s="491"/>
      <c r="H21" s="427"/>
      <c r="I21" s="426">
        <f>IF(G21="",0,(E21+G21)/2)</f>
        <v>0</v>
      </c>
      <c r="J21" s="156"/>
      <c r="K21" s="444"/>
      <c r="L21" s="445"/>
      <c r="M21" s="420"/>
      <c r="N21" s="420"/>
    </row>
    <row r="22" spans="1:14">
      <c r="A22" s="423"/>
      <c r="B22" s="423"/>
      <c r="C22" s="425"/>
      <c r="D22" s="446"/>
      <c r="E22" s="428"/>
      <c r="F22" s="428"/>
      <c r="G22" s="419"/>
      <c r="H22" s="427"/>
      <c r="I22" s="419"/>
      <c r="J22" s="156"/>
      <c r="K22" s="444"/>
      <c r="L22" s="445"/>
      <c r="M22" s="420"/>
      <c r="N22" s="420"/>
    </row>
    <row r="23" spans="1:14">
      <c r="A23" s="450"/>
      <c r="B23" s="450"/>
      <c r="C23" s="451"/>
      <c r="D23" s="452"/>
      <c r="E23" s="453"/>
      <c r="F23" s="453"/>
      <c r="G23" s="454"/>
      <c r="H23" s="455"/>
      <c r="I23" s="454"/>
      <c r="J23" s="456"/>
      <c r="K23" s="457"/>
      <c r="L23" s="458"/>
      <c r="M23" s="420"/>
      <c r="N23" s="420"/>
    </row>
    <row r="24" spans="1:14" ht="18">
      <c r="A24" s="423"/>
      <c r="B24" s="1527" t="s">
        <v>769</v>
      </c>
      <c r="C24" s="1527"/>
      <c r="D24" s="1527"/>
      <c r="E24" s="1527"/>
      <c r="F24" s="1527"/>
      <c r="G24" s="1527"/>
      <c r="H24" s="1527"/>
      <c r="I24" s="1527"/>
      <c r="J24" s="1527"/>
      <c r="K24" s="1527"/>
      <c r="L24" s="445"/>
      <c r="M24" s="420"/>
      <c r="N24" s="420"/>
    </row>
    <row r="25" spans="1:14" ht="12.75" customHeight="1">
      <c r="A25" s="423"/>
      <c r="B25" s="459"/>
      <c r="C25" s="425"/>
      <c r="D25" s="460"/>
      <c r="E25" s="461"/>
      <c r="F25" s="414"/>
      <c r="G25" s="461" t="s">
        <v>388</v>
      </c>
      <c r="I25" s="462" t="s">
        <v>417</v>
      </c>
      <c r="J25" s="462" t="s">
        <v>417</v>
      </c>
      <c r="K25" s="462" t="s">
        <v>479</v>
      </c>
      <c r="L25" s="445"/>
      <c r="M25" s="420"/>
      <c r="N25" s="420"/>
    </row>
    <row r="26" spans="1:14" ht="12.75" customHeight="1">
      <c r="A26" s="423"/>
      <c r="B26" s="459"/>
      <c r="C26" s="425"/>
      <c r="D26" s="463" t="s">
        <v>299</v>
      </c>
      <c r="E26" s="462" t="s">
        <v>329</v>
      </c>
      <c r="F26" s="414"/>
      <c r="G26" s="462" t="s">
        <v>417</v>
      </c>
      <c r="I26" s="462" t="s">
        <v>319</v>
      </c>
      <c r="J26" s="462" t="s">
        <v>461</v>
      </c>
      <c r="K26" s="462" t="s">
        <v>480</v>
      </c>
      <c r="L26" s="445"/>
      <c r="M26" s="420"/>
      <c r="N26" s="420"/>
    </row>
    <row r="27" spans="1:14" ht="12.75" customHeight="1">
      <c r="A27" s="423">
        <f>+A21+1</f>
        <v>5</v>
      </c>
      <c r="B27" s="459"/>
      <c r="C27" s="425"/>
      <c r="D27" s="464" t="s">
        <v>389</v>
      </c>
      <c r="E27" s="464" t="s">
        <v>300</v>
      </c>
      <c r="F27" s="414"/>
      <c r="G27" s="464" t="s">
        <v>320</v>
      </c>
      <c r="I27" s="464" t="s">
        <v>320</v>
      </c>
      <c r="J27" s="464" t="s">
        <v>320</v>
      </c>
      <c r="K27" s="464" t="s">
        <v>321</v>
      </c>
      <c r="L27" s="445"/>
      <c r="M27" s="420"/>
      <c r="N27" s="420"/>
    </row>
    <row r="28" spans="1:14">
      <c r="A28" s="423"/>
      <c r="B28" s="423"/>
      <c r="C28" s="425"/>
      <c r="D28" s="446"/>
      <c r="E28" s="428"/>
      <c r="F28" s="428"/>
      <c r="G28" s="419"/>
      <c r="H28" s="427"/>
      <c r="I28" s="419"/>
      <c r="J28" s="156"/>
      <c r="K28" s="465"/>
      <c r="L28" s="445"/>
      <c r="M28" s="420"/>
      <c r="N28" s="420"/>
    </row>
    <row r="29" spans="1:14">
      <c r="A29" s="423">
        <f>+A27+1</f>
        <v>6</v>
      </c>
      <c r="B29" s="423"/>
      <c r="C29" s="414" t="str">
        <f>"Totals as of December 31, "&amp;TCOS!L4&amp;""</f>
        <v>Totals as of December 31, 2022</v>
      </c>
      <c r="D29" s="466">
        <f>ROUND(D55,0)</f>
        <v>704355</v>
      </c>
      <c r="E29" s="467">
        <f>ROUND(E55,0)</f>
        <v>0</v>
      </c>
      <c r="F29" s="468"/>
      <c r="G29" s="466">
        <f>ROUND(G55,0)</f>
        <v>0</v>
      </c>
      <c r="H29" s="427"/>
      <c r="I29" s="466">
        <f>ROUND(I55,0)</f>
        <v>704355</v>
      </c>
      <c r="J29" s="469">
        <f>+J55</f>
        <v>0</v>
      </c>
      <c r="K29" s="466">
        <f>ROUND(K55,0)</f>
        <v>704355</v>
      </c>
      <c r="L29" s="445"/>
      <c r="M29" s="420"/>
      <c r="N29" s="420"/>
    </row>
    <row r="30" spans="1:14">
      <c r="A30" s="423">
        <f>+A29+1</f>
        <v>7</v>
      </c>
      <c r="B30" s="423"/>
      <c r="C30" s="414" t="str">
        <f>"Totals as of December 31, "&amp;(TCOS!L4-1)&amp;""</f>
        <v>Totals as of December 31, 2021</v>
      </c>
      <c r="D30" s="470">
        <f>ROUND(D79,0)</f>
        <v>633567</v>
      </c>
      <c r="E30" s="471">
        <f>ROUND(E79,0)</f>
        <v>0</v>
      </c>
      <c r="F30" s="428"/>
      <c r="G30" s="470">
        <f>ROUND(G79,0)</f>
        <v>0</v>
      </c>
      <c r="H30" s="427"/>
      <c r="I30" s="470">
        <f>ROUND(I79,0)</f>
        <v>633567</v>
      </c>
      <c r="J30" s="470">
        <f>+J79</f>
        <v>0</v>
      </c>
      <c r="K30" s="470">
        <f>ROUND(K79,0)</f>
        <v>633567</v>
      </c>
      <c r="L30" s="445"/>
      <c r="M30" s="420"/>
      <c r="N30" s="420"/>
    </row>
    <row r="31" spans="1:14" ht="13.5" thickBot="1">
      <c r="A31" s="423">
        <f>+A30+1</f>
        <v>8</v>
      </c>
      <c r="B31" s="423"/>
      <c r="C31" s="472" t="s">
        <v>505</v>
      </c>
      <c r="D31" s="473">
        <f>IF(D30="",0,(D29+D30)/2)</f>
        <v>668961</v>
      </c>
      <c r="E31" s="473">
        <f>IF(E30="",0,(E29+E30)/2)</f>
        <v>0</v>
      </c>
      <c r="F31" s="474"/>
      <c r="G31" s="473">
        <f>IF(G30="",0,(G29+G30)/2)</f>
        <v>0</v>
      </c>
      <c r="H31" s="475"/>
      <c r="I31" s="473">
        <f>IF(I30="",0,(I29+I30)/2)</f>
        <v>668961</v>
      </c>
      <c r="J31" s="473">
        <f>IF(J30="",0,(J29+J30)/2)</f>
        <v>0</v>
      </c>
      <c r="K31" s="473">
        <f>IF(K30="",0,(K29+K30)/2)</f>
        <v>668961</v>
      </c>
      <c r="L31" s="445"/>
      <c r="M31" s="420"/>
      <c r="N31" s="420"/>
    </row>
    <row r="32" spans="1:14" ht="13.5" thickTop="1">
      <c r="A32" s="423"/>
      <c r="B32" s="423"/>
      <c r="D32" s="446"/>
      <c r="E32" s="428"/>
      <c r="F32" s="428"/>
      <c r="G32" s="419"/>
      <c r="H32" s="427"/>
      <c r="I32" s="419"/>
      <c r="J32" s="156"/>
      <c r="K32" s="444"/>
      <c r="L32" s="445"/>
      <c r="M32" s="420"/>
      <c r="N32" s="420"/>
    </row>
    <row r="33" spans="1:14">
      <c r="A33" s="414"/>
      <c r="E33" s="414"/>
      <c r="F33" s="414"/>
      <c r="J33" s="156"/>
      <c r="K33" s="444"/>
      <c r="L33" s="445"/>
      <c r="M33" s="420"/>
      <c r="N33" s="420"/>
    </row>
    <row r="34" spans="1:14" ht="18">
      <c r="A34" s="423"/>
      <c r="B34" s="1530" t="str">
        <f>"Prepayments Account 165 - Balance @ 12/31/"&amp;D36&amp;""</f>
        <v>Prepayments Account 165 - Balance @ 12/31/2022</v>
      </c>
      <c r="C34" s="1535"/>
      <c r="D34" s="1535"/>
      <c r="E34" s="1535"/>
      <c r="F34" s="1535"/>
      <c r="G34" s="1535"/>
      <c r="H34" s="1535"/>
      <c r="I34" s="1535"/>
      <c r="J34" s="1535"/>
      <c r="K34" s="444"/>
      <c r="L34" s="445"/>
      <c r="M34" s="420"/>
      <c r="N34" s="420"/>
    </row>
    <row r="35" spans="1:14">
      <c r="A35" s="423"/>
      <c r="B35" s="476"/>
      <c r="C35" s="477"/>
      <c r="D35" s="460"/>
      <c r="E35" s="461"/>
      <c r="F35" s="414"/>
      <c r="G35" s="461" t="s">
        <v>388</v>
      </c>
      <c r="I35" s="462" t="s">
        <v>417</v>
      </c>
      <c r="J35" s="462" t="s">
        <v>417</v>
      </c>
      <c r="K35" s="462" t="s">
        <v>479</v>
      </c>
      <c r="L35" s="172"/>
      <c r="M35" s="420"/>
      <c r="N35" s="420"/>
    </row>
    <row r="36" spans="1:14">
      <c r="A36" s="423"/>
      <c r="B36" s="476"/>
      <c r="C36" s="478"/>
      <c r="D36" s="463" t="str">
        <f>""&amp;TCOS!L4</f>
        <v>2022</v>
      </c>
      <c r="E36" s="462" t="s">
        <v>329</v>
      </c>
      <c r="F36" s="414"/>
      <c r="G36" s="462" t="s">
        <v>417</v>
      </c>
      <c r="I36" s="462" t="s">
        <v>319</v>
      </c>
      <c r="J36" s="462" t="s">
        <v>461</v>
      </c>
      <c r="K36" s="462" t="s">
        <v>480</v>
      </c>
      <c r="L36" s="172"/>
      <c r="M36" s="420"/>
      <c r="N36" s="420"/>
    </row>
    <row r="37" spans="1:14">
      <c r="A37" s="423">
        <f>+A31+1</f>
        <v>9</v>
      </c>
      <c r="B37" s="464" t="s">
        <v>391</v>
      </c>
      <c r="C37" s="464" t="s">
        <v>467</v>
      </c>
      <c r="D37" s="464" t="s">
        <v>389</v>
      </c>
      <c r="E37" s="464" t="s">
        <v>300</v>
      </c>
      <c r="F37" s="414"/>
      <c r="G37" s="464" t="s">
        <v>320</v>
      </c>
      <c r="I37" s="464" t="s">
        <v>320</v>
      </c>
      <c r="J37" s="464" t="s">
        <v>320</v>
      </c>
      <c r="K37" s="464" t="s">
        <v>321</v>
      </c>
      <c r="L37" s="464" t="s">
        <v>373</v>
      </c>
      <c r="M37" s="420"/>
      <c r="N37" s="420"/>
    </row>
    <row r="38" spans="1:14">
      <c r="A38" s="423"/>
      <c r="B38" s="476"/>
      <c r="C38" s="477"/>
      <c r="D38" s="477"/>
      <c r="E38" s="477"/>
      <c r="F38" s="414"/>
      <c r="G38" s="477"/>
      <c r="I38" s="477"/>
      <c r="J38" s="477"/>
      <c r="K38" s="465"/>
      <c r="L38" s="172"/>
      <c r="M38" s="420"/>
      <c r="N38" s="420"/>
    </row>
    <row r="39" spans="1:14" ht="14.25">
      <c r="A39" s="423">
        <f>+A37+1</f>
        <v>10</v>
      </c>
      <c r="B39" s="1325">
        <v>1650001</v>
      </c>
      <c r="C39" s="1326" t="s">
        <v>804</v>
      </c>
      <c r="D39" s="1327">
        <v>407150.69699999999</v>
      </c>
      <c r="E39" s="1328">
        <f t="shared" ref="E39:E41" si="0">+D39-K39</f>
        <v>0</v>
      </c>
      <c r="F39" s="414"/>
      <c r="G39" s="1329"/>
      <c r="I39" s="1329">
        <f>+D39</f>
        <v>407150.69699999999</v>
      </c>
      <c r="J39" s="1329"/>
      <c r="K39" s="1329">
        <f>+G39+I39+J39</f>
        <v>407150.69699999999</v>
      </c>
      <c r="L39" s="172"/>
      <c r="M39" s="420"/>
      <c r="N39" s="420"/>
    </row>
    <row r="40" spans="1:14" ht="14.25">
      <c r="A40" s="423">
        <f>+A39+1</f>
        <v>11</v>
      </c>
      <c r="B40" s="1325">
        <v>1650021</v>
      </c>
      <c r="C40" s="1330" t="s">
        <v>805</v>
      </c>
      <c r="D40" s="1327">
        <v>244220.01</v>
      </c>
      <c r="E40" s="1328">
        <f t="shared" si="0"/>
        <v>0</v>
      </c>
      <c r="F40" s="414"/>
      <c r="G40" s="1329"/>
      <c r="I40" s="1329">
        <f>+D40</f>
        <v>244220.01</v>
      </c>
      <c r="J40" s="1329"/>
      <c r="K40" s="1329">
        <f t="shared" ref="K40:K41" si="1">+G40+I40+J40</f>
        <v>244220.01</v>
      </c>
      <c r="L40" s="172"/>
      <c r="M40" s="420"/>
      <c r="N40" s="420"/>
    </row>
    <row r="41" spans="1:14" ht="14.25">
      <c r="A41" s="423">
        <f t="shared" ref="A41:A54" si="2">+A40+1</f>
        <v>12</v>
      </c>
      <c r="B41" s="1325">
        <v>1650023</v>
      </c>
      <c r="C41" s="1330" t="s">
        <v>806</v>
      </c>
      <c r="D41" s="1327">
        <v>52984.06</v>
      </c>
      <c r="E41" s="1328">
        <f t="shared" si="0"/>
        <v>0</v>
      </c>
      <c r="F41" s="414"/>
      <c r="G41" s="1329"/>
      <c r="I41" s="1329">
        <f>+D41</f>
        <v>52984.06</v>
      </c>
      <c r="J41" s="1329"/>
      <c r="K41" s="1329">
        <f t="shared" si="1"/>
        <v>52984.06</v>
      </c>
      <c r="L41" s="172"/>
      <c r="M41" s="420"/>
      <c r="N41" s="420"/>
    </row>
    <row r="42" spans="1:14" ht="14.25">
      <c r="A42" s="423">
        <f t="shared" si="2"/>
        <v>13</v>
      </c>
      <c r="B42" s="1325"/>
      <c r="C42" s="1330"/>
      <c r="D42" s="1327"/>
      <c r="E42" s="1328"/>
      <c r="F42" s="414"/>
      <c r="G42" s="1329"/>
      <c r="I42" s="1329"/>
      <c r="J42" s="1329"/>
      <c r="K42" s="1329"/>
      <c r="L42" s="172"/>
      <c r="M42" s="420"/>
      <c r="N42" s="420"/>
    </row>
    <row r="43" spans="1:14" ht="14.25">
      <c r="A43" s="423">
        <f t="shared" si="2"/>
        <v>14</v>
      </c>
      <c r="B43" s="1325"/>
      <c r="C43" s="1330"/>
      <c r="D43" s="1327"/>
      <c r="E43" s="1328"/>
      <c r="F43" s="414"/>
      <c r="G43" s="1329"/>
      <c r="I43" s="1329"/>
      <c r="J43" s="1329"/>
      <c r="K43" s="1329"/>
      <c r="L43" s="384"/>
      <c r="M43" s="420"/>
      <c r="N43" s="420"/>
    </row>
    <row r="44" spans="1:14" ht="14.25">
      <c r="A44" s="423">
        <f t="shared" si="2"/>
        <v>15</v>
      </c>
      <c r="B44" s="1325"/>
      <c r="C44" s="1330"/>
      <c r="D44" s="1327"/>
      <c r="E44" s="1328"/>
      <c r="F44" s="414"/>
      <c r="G44" s="1329"/>
      <c r="I44" s="1329"/>
      <c r="J44" s="1329"/>
      <c r="K44" s="1329"/>
      <c r="L44" s="384"/>
      <c r="M44" s="420"/>
      <c r="N44" s="420"/>
    </row>
    <row r="45" spans="1:14" ht="14.25">
      <c r="A45" s="423">
        <f t="shared" si="2"/>
        <v>16</v>
      </c>
      <c r="B45" s="1325"/>
      <c r="C45" s="1330"/>
      <c r="D45" s="1327"/>
      <c r="E45" s="1328"/>
      <c r="F45" s="414"/>
      <c r="G45" s="1181"/>
      <c r="I45" s="1329"/>
      <c r="J45" s="1181"/>
      <c r="K45" s="1181"/>
      <c r="L45" s="384"/>
      <c r="M45" s="420"/>
      <c r="N45" s="420"/>
    </row>
    <row r="46" spans="1:14" ht="14.25">
      <c r="A46" s="423">
        <f t="shared" si="2"/>
        <v>17</v>
      </c>
      <c r="B46" s="1325"/>
      <c r="C46" s="1330"/>
      <c r="D46" s="1327"/>
      <c r="E46" s="1328"/>
      <c r="F46" s="414"/>
      <c r="G46" s="1329"/>
      <c r="I46" s="1329"/>
      <c r="J46" s="1329"/>
      <c r="K46" s="1181"/>
      <c r="L46" s="341"/>
      <c r="M46" s="420"/>
      <c r="N46" s="420"/>
    </row>
    <row r="47" spans="1:14" ht="14.25">
      <c r="A47" s="423">
        <f t="shared" si="2"/>
        <v>18</v>
      </c>
      <c r="B47" s="1325"/>
      <c r="C47" s="1330"/>
      <c r="D47" s="1327"/>
      <c r="E47" s="1328"/>
      <c r="F47" s="414"/>
      <c r="G47" s="1329"/>
      <c r="I47" s="1329"/>
      <c r="J47" s="1329"/>
      <c r="K47" s="1181"/>
      <c r="L47" s="384"/>
      <c r="M47" s="420"/>
      <c r="N47" s="420"/>
    </row>
    <row r="48" spans="1:14" ht="14.25">
      <c r="A48" s="423">
        <f t="shared" si="2"/>
        <v>19</v>
      </c>
      <c r="B48" s="1325"/>
      <c r="C48" s="1330"/>
      <c r="D48" s="1327"/>
      <c r="E48" s="1328"/>
      <c r="F48" s="414"/>
      <c r="G48" s="1329"/>
      <c r="I48" s="1329"/>
      <c r="J48" s="1329"/>
      <c r="K48" s="1181"/>
      <c r="L48" s="384"/>
      <c r="M48" s="420"/>
      <c r="N48" s="420"/>
    </row>
    <row r="49" spans="1:15" ht="14.25">
      <c r="A49" s="423">
        <f t="shared" si="2"/>
        <v>20</v>
      </c>
      <c r="B49" s="1325"/>
      <c r="C49" s="1330"/>
      <c r="D49" s="1327"/>
      <c r="E49" s="1328"/>
      <c r="F49" s="414"/>
      <c r="G49" s="1329"/>
      <c r="I49" s="1329"/>
      <c r="J49" s="1181"/>
      <c r="K49" s="1181"/>
      <c r="L49" s="172"/>
      <c r="M49" s="420"/>
      <c r="N49" s="420"/>
    </row>
    <row r="50" spans="1:15" ht="14.25">
      <c r="A50" s="423">
        <f t="shared" si="2"/>
        <v>21</v>
      </c>
      <c r="B50" s="1325"/>
      <c r="C50" s="1330"/>
      <c r="D50" s="1327"/>
      <c r="E50" s="1328"/>
      <c r="F50" s="414"/>
      <c r="G50" s="1329"/>
      <c r="I50" s="1329"/>
      <c r="J50" s="1181"/>
      <c r="K50" s="1181"/>
      <c r="L50" s="172"/>
      <c r="M50" s="420"/>
      <c r="N50" s="420"/>
    </row>
    <row r="51" spans="1:15" ht="14.25">
      <c r="A51" s="423">
        <f t="shared" si="2"/>
        <v>22</v>
      </c>
      <c r="B51" s="1325"/>
      <c r="C51" s="1330"/>
      <c r="D51" s="1327"/>
      <c r="E51" s="1328"/>
      <c r="F51" s="414"/>
      <c r="G51" s="1329"/>
      <c r="I51" s="1329"/>
      <c r="J51" s="1181"/>
      <c r="K51" s="1181"/>
      <c r="L51" s="384"/>
      <c r="M51" s="420"/>
      <c r="N51" s="420"/>
    </row>
    <row r="52" spans="1:15" ht="14.25">
      <c r="A52" s="423">
        <f t="shared" si="2"/>
        <v>23</v>
      </c>
      <c r="B52" s="1325"/>
      <c r="C52" s="1330"/>
      <c r="D52" s="1327"/>
      <c r="E52" s="1328"/>
      <c r="F52" s="414"/>
      <c r="G52" s="1329"/>
      <c r="I52" s="1329"/>
      <c r="J52" s="1181"/>
      <c r="K52" s="1181"/>
      <c r="L52" s="384"/>
      <c r="M52" s="420"/>
      <c r="N52" s="420"/>
    </row>
    <row r="53" spans="1:15" ht="14.25">
      <c r="A53" s="423">
        <f t="shared" si="2"/>
        <v>24</v>
      </c>
      <c r="B53" s="1325"/>
      <c r="C53" s="1330"/>
      <c r="D53" s="1327"/>
      <c r="E53" s="1328"/>
      <c r="F53" s="414"/>
      <c r="G53" s="1329"/>
      <c r="I53" s="1329"/>
      <c r="J53" s="1181"/>
      <c r="K53" s="1181"/>
      <c r="L53" s="384"/>
      <c r="M53" s="420"/>
      <c r="N53" s="420"/>
    </row>
    <row r="54" spans="1:15" ht="15" thickBot="1">
      <c r="A54" s="423">
        <f t="shared" si="2"/>
        <v>25</v>
      </c>
      <c r="B54" s="961"/>
      <c r="C54" s="962"/>
      <c r="D54" s="987"/>
      <c r="E54" s="479"/>
      <c r="F54" s="414"/>
      <c r="G54" s="480"/>
      <c r="I54" s="480"/>
      <c r="J54" s="480"/>
      <c r="K54" s="481"/>
      <c r="L54" s="384"/>
      <c r="M54" s="420"/>
      <c r="N54" s="420"/>
    </row>
    <row r="55" spans="1:15">
      <c r="A55" s="423"/>
      <c r="B55" s="476"/>
      <c r="C55" s="482" t="s">
        <v>301</v>
      </c>
      <c r="D55" s="483">
        <f>SUM(D39:D54)</f>
        <v>704354.76699999999</v>
      </c>
      <c r="E55" s="484">
        <f>SUM(E39:E54)</f>
        <v>0</v>
      </c>
      <c r="F55" s="414"/>
      <c r="G55" s="483">
        <f>SUM(G39:G54)</f>
        <v>0</v>
      </c>
      <c r="I55" s="483">
        <f>SUM(I39:I54)</f>
        <v>704354.76699999999</v>
      </c>
      <c r="J55" s="483">
        <f>SUM(J39:J54)</f>
        <v>0</v>
      </c>
      <c r="K55" s="483">
        <f>SUM(K39:K54)</f>
        <v>704354.76699999999</v>
      </c>
      <c r="L55" s="172"/>
      <c r="M55" s="420"/>
      <c r="N55" s="420"/>
    </row>
    <row r="56" spans="1:15">
      <c r="A56" s="423"/>
      <c r="D56" s="485" t="s">
        <v>416</v>
      </c>
      <c r="K56" s="486"/>
      <c r="L56" s="172"/>
      <c r="M56" s="420"/>
      <c r="N56" s="420"/>
    </row>
    <row r="57" spans="1:15">
      <c r="A57" s="423"/>
      <c r="B57" s="172"/>
      <c r="C57" s="172"/>
      <c r="D57" s="172"/>
      <c r="E57" s="172"/>
      <c r="F57" s="172"/>
      <c r="G57" s="172"/>
      <c r="H57" s="172"/>
      <c r="I57" s="172"/>
      <c r="J57" s="172"/>
      <c r="K57" s="172"/>
      <c r="L57" s="172"/>
      <c r="M57" s="420"/>
      <c r="N57" s="420"/>
      <c r="O57" s="172"/>
    </row>
    <row r="58" spans="1:15" ht="18">
      <c r="A58" s="423"/>
      <c r="B58" s="1530" t="str">
        <f>"Prepayments Account 165 - Balance @ 12/31/ "&amp;D60&amp;""</f>
        <v>Prepayments Account 165 - Balance @ 12/31/ 2021</v>
      </c>
      <c r="C58" s="1530"/>
      <c r="D58" s="1530"/>
      <c r="E58" s="1530"/>
      <c r="F58" s="1530"/>
      <c r="G58" s="1530"/>
      <c r="H58" s="1530"/>
      <c r="I58" s="1530"/>
      <c r="J58" s="1530"/>
      <c r="K58" s="444"/>
      <c r="L58" s="445"/>
      <c r="M58" s="420"/>
      <c r="N58" s="420"/>
      <c r="O58" s="172"/>
    </row>
    <row r="59" spans="1:15">
      <c r="A59" s="423"/>
      <c r="B59" s="487"/>
      <c r="C59" s="488"/>
      <c r="D59" s="489"/>
      <c r="E59" s="461"/>
      <c r="F59" s="414"/>
      <c r="G59" s="461" t="s">
        <v>388</v>
      </c>
      <c r="I59" s="462" t="s">
        <v>417</v>
      </c>
      <c r="J59" s="462" t="s">
        <v>417</v>
      </c>
      <c r="K59" s="462" t="s">
        <v>479</v>
      </c>
      <c r="L59" s="172"/>
      <c r="M59" s="420"/>
      <c r="N59" s="420"/>
      <c r="O59" s="172"/>
    </row>
    <row r="60" spans="1:15">
      <c r="A60" s="423"/>
      <c r="B60" s="487"/>
      <c r="C60" s="490"/>
      <c r="D60" s="462" t="str">
        <f>""&amp;TCOS!L4-1&amp;""</f>
        <v>2021</v>
      </c>
      <c r="E60" s="462" t="s">
        <v>329</v>
      </c>
      <c r="F60" s="414"/>
      <c r="G60" s="462" t="s">
        <v>417</v>
      </c>
      <c r="I60" s="462" t="s">
        <v>319</v>
      </c>
      <c r="J60" s="462" t="s">
        <v>461</v>
      </c>
      <c r="K60" s="462" t="s">
        <v>480</v>
      </c>
      <c r="L60" s="172"/>
      <c r="M60" s="420"/>
      <c r="N60" s="420"/>
      <c r="O60" s="172"/>
    </row>
    <row r="61" spans="1:15">
      <c r="A61" s="423">
        <f>A54+1</f>
        <v>26</v>
      </c>
      <c r="B61" s="464" t="s">
        <v>391</v>
      </c>
      <c r="C61" s="464" t="s">
        <v>467</v>
      </c>
      <c r="D61" s="464" t="s">
        <v>389</v>
      </c>
      <c r="E61" s="464" t="s">
        <v>300</v>
      </c>
      <c r="F61" s="414"/>
      <c r="G61" s="464" t="s">
        <v>320</v>
      </c>
      <c r="I61" s="464" t="s">
        <v>320</v>
      </c>
      <c r="J61" s="464" t="s">
        <v>320</v>
      </c>
      <c r="K61" s="464" t="s">
        <v>321</v>
      </c>
      <c r="L61" s="464" t="s">
        <v>373</v>
      </c>
      <c r="M61" s="420"/>
      <c r="N61" s="420"/>
      <c r="O61" s="172"/>
    </row>
    <row r="62" spans="1:15">
      <c r="A62" s="423"/>
      <c r="B62" s="476"/>
      <c r="C62" s="477"/>
      <c r="D62" s="477"/>
      <c r="E62" s="477"/>
      <c r="F62" s="414"/>
      <c r="G62" s="477"/>
      <c r="I62" s="477"/>
      <c r="J62" s="477"/>
      <c r="K62" s="477"/>
      <c r="L62" s="172"/>
      <c r="M62" s="420"/>
      <c r="N62" s="420"/>
      <c r="O62" s="172"/>
    </row>
    <row r="63" spans="1:15" ht="14.25">
      <c r="A63" s="423">
        <f>+A61+1</f>
        <v>27</v>
      </c>
      <c r="B63" s="1325">
        <v>1650001</v>
      </c>
      <c r="C63" s="1326" t="s">
        <v>804</v>
      </c>
      <c r="D63" s="1327">
        <v>352085.42700000003</v>
      </c>
      <c r="E63" s="1328">
        <f t="shared" ref="E63:E65" si="3">+D63-K63</f>
        <v>0</v>
      </c>
      <c r="F63" s="414"/>
      <c r="G63" s="1329"/>
      <c r="I63" s="1329">
        <f>+D63</f>
        <v>352085.42700000003</v>
      </c>
      <c r="J63" s="1329"/>
      <c r="K63" s="1329">
        <f>+G63+I63+J63</f>
        <v>352085.42700000003</v>
      </c>
      <c r="L63" s="172"/>
      <c r="M63" s="420"/>
      <c r="N63" s="420"/>
      <c r="O63" s="172"/>
    </row>
    <row r="64" spans="1:15" ht="14.25">
      <c r="A64" s="423">
        <f>+A63+1</f>
        <v>28</v>
      </c>
      <c r="B64" s="1325">
        <v>1650021</v>
      </c>
      <c r="C64" s="1330" t="s">
        <v>805</v>
      </c>
      <c r="D64" s="1327">
        <v>204439.89</v>
      </c>
      <c r="E64" s="1328">
        <f t="shared" si="3"/>
        <v>0</v>
      </c>
      <c r="F64" s="414"/>
      <c r="G64" s="1329"/>
      <c r="I64" s="1329">
        <f>+D64</f>
        <v>204439.89</v>
      </c>
      <c r="J64" s="1329"/>
      <c r="K64" s="1329">
        <f t="shared" ref="K64:K65" si="4">+G64+I64+J64</f>
        <v>204439.89</v>
      </c>
      <c r="L64" s="172"/>
      <c r="M64" s="420"/>
      <c r="N64" s="420"/>
      <c r="O64" s="172"/>
    </row>
    <row r="65" spans="1:15" ht="14.25">
      <c r="A65" s="423">
        <f t="shared" ref="A65:A78" si="5">+A64+1</f>
        <v>29</v>
      </c>
      <c r="B65" s="1325">
        <v>1650023</v>
      </c>
      <c r="C65" s="1330" t="s">
        <v>806</v>
      </c>
      <c r="D65" s="1327">
        <v>77041.650000000009</v>
      </c>
      <c r="E65" s="1328">
        <f t="shared" si="3"/>
        <v>0</v>
      </c>
      <c r="F65" s="414"/>
      <c r="G65" s="1329"/>
      <c r="I65" s="1329">
        <f>+D65</f>
        <v>77041.650000000009</v>
      </c>
      <c r="J65" s="1329"/>
      <c r="K65" s="1329">
        <f t="shared" si="4"/>
        <v>77041.650000000009</v>
      </c>
      <c r="L65" s="172"/>
      <c r="M65" s="420"/>
      <c r="N65" s="420"/>
      <c r="O65" s="172"/>
    </row>
    <row r="66" spans="1:15" ht="14.25">
      <c r="A66" s="423">
        <f t="shared" si="5"/>
        <v>30</v>
      </c>
      <c r="B66" s="1325"/>
      <c r="C66" s="1330"/>
      <c r="D66" s="1327"/>
      <c r="E66" s="1328"/>
      <c r="F66" s="414"/>
      <c r="G66" s="1329"/>
      <c r="I66" s="1329"/>
      <c r="J66" s="1329"/>
      <c r="K66" s="1329"/>
      <c r="L66" s="172"/>
      <c r="M66" s="420"/>
      <c r="N66" s="420"/>
      <c r="O66" s="172"/>
    </row>
    <row r="67" spans="1:15" ht="14.25">
      <c r="A67" s="423">
        <f t="shared" si="5"/>
        <v>31</v>
      </c>
      <c r="B67" s="1325"/>
      <c r="C67" s="1330"/>
      <c r="D67" s="1327"/>
      <c r="E67" s="1328"/>
      <c r="F67" s="414"/>
      <c r="G67" s="1329"/>
      <c r="I67" s="1329"/>
      <c r="J67" s="1329"/>
      <c r="K67" s="1329"/>
      <c r="L67" s="384"/>
      <c r="M67" s="420"/>
      <c r="N67" s="420"/>
      <c r="O67" s="172"/>
    </row>
    <row r="68" spans="1:15" ht="14.25">
      <c r="A68" s="423">
        <f t="shared" si="5"/>
        <v>32</v>
      </c>
      <c r="B68" s="1325"/>
      <c r="C68" s="1330"/>
      <c r="D68" s="1327"/>
      <c r="E68" s="1328"/>
      <c r="F68" s="414"/>
      <c r="G68" s="1329"/>
      <c r="I68" s="1329"/>
      <c r="J68" s="1329"/>
      <c r="K68" s="1329"/>
      <c r="L68" s="384"/>
      <c r="M68" s="420"/>
      <c r="N68" s="420"/>
      <c r="O68" s="172"/>
    </row>
    <row r="69" spans="1:15" ht="14.25">
      <c r="A69" s="423">
        <f t="shared" si="5"/>
        <v>33</v>
      </c>
      <c r="B69" s="1325"/>
      <c r="C69" s="1330"/>
      <c r="D69" s="1327"/>
      <c r="E69" s="1328"/>
      <c r="F69" s="414"/>
      <c r="G69" s="1181"/>
      <c r="I69" s="1329"/>
      <c r="J69" s="1181"/>
      <c r="K69" s="1181"/>
      <c r="L69" s="384"/>
      <c r="M69" s="420"/>
      <c r="N69" s="420"/>
      <c r="O69" s="172"/>
    </row>
    <row r="70" spans="1:15" ht="14.25">
      <c r="A70" s="423">
        <f t="shared" si="5"/>
        <v>34</v>
      </c>
      <c r="B70" s="1325"/>
      <c r="C70" s="1330"/>
      <c r="D70" s="1327"/>
      <c r="E70" s="1328"/>
      <c r="F70" s="414"/>
      <c r="G70" s="1329"/>
      <c r="I70" s="1329"/>
      <c r="J70" s="1329"/>
      <c r="K70" s="1181"/>
      <c r="L70" s="1398"/>
      <c r="M70" s="420"/>
      <c r="N70" s="420"/>
      <c r="O70" s="172"/>
    </row>
    <row r="71" spans="1:15" ht="14.25">
      <c r="A71" s="423">
        <f t="shared" si="5"/>
        <v>35</v>
      </c>
      <c r="B71" s="1325"/>
      <c r="C71" s="1330"/>
      <c r="D71" s="1327"/>
      <c r="E71" s="1328"/>
      <c r="F71" s="414"/>
      <c r="G71" s="1329"/>
      <c r="I71" s="1329"/>
      <c r="J71" s="1329"/>
      <c r="K71" s="1181"/>
      <c r="L71" s="384"/>
      <c r="M71" s="420"/>
      <c r="N71" s="420"/>
      <c r="O71" s="172"/>
    </row>
    <row r="72" spans="1:15" ht="14.25">
      <c r="A72" s="423">
        <f>+A69+1</f>
        <v>34</v>
      </c>
      <c r="B72" s="1325"/>
      <c r="C72" s="1330"/>
      <c r="D72" s="1327"/>
      <c r="E72" s="1328"/>
      <c r="F72" s="414"/>
      <c r="G72" s="1329"/>
      <c r="I72" s="1329"/>
      <c r="J72" s="1329"/>
      <c r="K72" s="1181"/>
      <c r="L72" s="384"/>
      <c r="M72" s="420"/>
      <c r="N72" s="420"/>
      <c r="O72" s="172"/>
    </row>
    <row r="73" spans="1:15" ht="14.25">
      <c r="A73" s="423">
        <f t="shared" si="5"/>
        <v>35</v>
      </c>
      <c r="B73" s="1325"/>
      <c r="C73" s="1330"/>
      <c r="D73" s="1327"/>
      <c r="E73" s="1328"/>
      <c r="F73" s="414"/>
      <c r="G73" s="1329"/>
      <c r="I73" s="1329"/>
      <c r="J73" s="1181"/>
      <c r="K73" s="1181"/>
      <c r="L73" s="172"/>
      <c r="M73" s="420"/>
      <c r="N73" s="420"/>
      <c r="O73" s="172"/>
    </row>
    <row r="74" spans="1:15" ht="14.25">
      <c r="A74" s="423">
        <f t="shared" si="5"/>
        <v>36</v>
      </c>
      <c r="B74" s="1325"/>
      <c r="C74" s="1330"/>
      <c r="D74" s="1327"/>
      <c r="E74" s="1328"/>
      <c r="F74" s="414"/>
      <c r="G74" s="1329"/>
      <c r="I74" s="1329"/>
      <c r="J74" s="1181"/>
      <c r="K74" s="1181"/>
      <c r="L74" s="172"/>
      <c r="M74" s="420"/>
      <c r="N74" s="420"/>
      <c r="O74" s="172"/>
    </row>
    <row r="75" spans="1:15" ht="14.25">
      <c r="A75" s="423">
        <f t="shared" si="5"/>
        <v>37</v>
      </c>
      <c r="B75" s="1325"/>
      <c r="C75" s="1330"/>
      <c r="D75" s="1327"/>
      <c r="E75" s="1328"/>
      <c r="F75" s="414"/>
      <c r="G75" s="1329"/>
      <c r="I75" s="1329"/>
      <c r="J75" s="1181"/>
      <c r="K75" s="1181"/>
      <c r="L75" s="384"/>
      <c r="M75" s="420"/>
      <c r="N75" s="420"/>
      <c r="O75" s="172"/>
    </row>
    <row r="76" spans="1:15" ht="14.25">
      <c r="A76" s="423">
        <f t="shared" si="5"/>
        <v>38</v>
      </c>
      <c r="B76" s="1325"/>
      <c r="C76" s="1330"/>
      <c r="D76" s="1327"/>
      <c r="E76" s="1328"/>
      <c r="F76" s="414"/>
      <c r="G76" s="1329"/>
      <c r="I76" s="1329"/>
      <c r="J76" s="1181"/>
      <c r="K76" s="1181"/>
      <c r="L76" s="384"/>
      <c r="M76" s="420"/>
      <c r="N76" s="420"/>
      <c r="O76" s="172"/>
    </row>
    <row r="77" spans="1:15" ht="14.25">
      <c r="A77" s="423">
        <f t="shared" si="5"/>
        <v>39</v>
      </c>
      <c r="B77" s="1325"/>
      <c r="C77" s="1330"/>
      <c r="D77" s="1327"/>
      <c r="E77" s="1328"/>
      <c r="F77" s="414"/>
      <c r="G77" s="1329"/>
      <c r="I77" s="1329"/>
      <c r="J77" s="1181"/>
      <c r="K77" s="1181"/>
      <c r="L77" s="384"/>
      <c r="M77" s="420"/>
      <c r="N77" s="420"/>
      <c r="O77" s="172"/>
    </row>
    <row r="78" spans="1:15" ht="15" thickBot="1">
      <c r="A78" s="423">
        <f t="shared" si="5"/>
        <v>40</v>
      </c>
      <c r="B78" s="961"/>
      <c r="C78" s="962"/>
      <c r="D78" s="987"/>
      <c r="E78" s="479"/>
      <c r="F78" s="414"/>
      <c r="G78" s="480"/>
      <c r="I78" s="480"/>
      <c r="J78" s="480"/>
      <c r="K78" s="481"/>
      <c r="L78" s="384"/>
      <c r="M78" s="420"/>
      <c r="N78" s="420"/>
      <c r="O78" s="172"/>
    </row>
    <row r="79" spans="1:15">
      <c r="A79" s="423"/>
      <c r="B79" s="476"/>
      <c r="C79" s="1234" t="s">
        <v>626</v>
      </c>
      <c r="D79" s="483">
        <f>SUM(D63:D78)</f>
        <v>633566.96700000006</v>
      </c>
      <c r="E79" s="484">
        <f>SUM(E63:E78)</f>
        <v>0</v>
      </c>
      <c r="F79" s="414"/>
      <c r="G79" s="483">
        <f>SUM(G63:G78)</f>
        <v>0</v>
      </c>
      <c r="I79" s="483">
        <f>SUM(I63:I78)</f>
        <v>633566.96700000006</v>
      </c>
      <c r="J79" s="483">
        <f>SUM(J63:J78)</f>
        <v>0</v>
      </c>
      <c r="K79" s="483">
        <f>SUM(K63:K78)</f>
        <v>633566.96700000006</v>
      </c>
      <c r="L79" s="172"/>
      <c r="M79" s="420"/>
      <c r="N79" s="420"/>
      <c r="O79" s="172"/>
    </row>
    <row r="80" spans="1:15">
      <c r="A80" s="423"/>
      <c r="B80" s="423"/>
      <c r="C80" s="172"/>
      <c r="D80" s="172"/>
      <c r="E80" s="172"/>
      <c r="F80" s="172"/>
      <c r="G80" s="172"/>
      <c r="H80" s="172"/>
      <c r="I80" s="172"/>
      <c r="J80" s="172"/>
      <c r="K80" s="172"/>
      <c r="L80" s="172"/>
      <c r="M80" s="420"/>
      <c r="N80" s="420"/>
      <c r="O80" s="172"/>
    </row>
    <row r="81" spans="1:15" ht="20.25" customHeight="1">
      <c r="A81" s="1114" t="s">
        <v>693</v>
      </c>
      <c r="B81" s="1526" t="s">
        <v>778</v>
      </c>
      <c r="C81" s="1526"/>
      <c r="D81" s="1526"/>
      <c r="E81" s="1526"/>
      <c r="F81" s="1526"/>
      <c r="G81" s="1526"/>
      <c r="H81" s="1526"/>
      <c r="I81" s="1526"/>
      <c r="J81" s="1526"/>
      <c r="K81" s="1526"/>
      <c r="L81" s="1526"/>
      <c r="M81" s="420"/>
      <c r="N81" s="420"/>
      <c r="O81" s="172"/>
    </row>
    <row r="82" spans="1:15" ht="20.25" customHeight="1">
      <c r="A82" s="1235"/>
      <c r="B82" s="1526"/>
      <c r="C82" s="1526"/>
      <c r="D82" s="1526"/>
      <c r="E82" s="1526"/>
      <c r="F82" s="1526"/>
      <c r="G82" s="1526"/>
      <c r="H82" s="1526"/>
      <c r="I82" s="1526"/>
      <c r="J82" s="1526"/>
      <c r="K82" s="1526"/>
      <c r="L82" s="1526"/>
      <c r="M82" s="172"/>
      <c r="N82" s="172"/>
      <c r="O82" s="172"/>
    </row>
    <row r="83" spans="1:15">
      <c r="A83" s="172"/>
      <c r="B83" s="172"/>
      <c r="C83" s="172"/>
      <c r="D83" s="172"/>
      <c r="E83" s="172"/>
      <c r="F83" s="172"/>
      <c r="G83" s="172"/>
      <c r="H83" s="172"/>
      <c r="I83" s="172"/>
      <c r="J83" s="172"/>
      <c r="K83" s="172"/>
      <c r="L83" s="172"/>
      <c r="M83" s="172"/>
      <c r="N83" s="172"/>
      <c r="O83" s="172"/>
    </row>
    <row r="84" spans="1:15">
      <c r="A84" s="172"/>
      <c r="B84" s="172"/>
      <c r="C84" s="172"/>
      <c r="D84" s="172"/>
      <c r="E84" s="172"/>
      <c r="F84" s="172"/>
      <c r="G84" s="172"/>
      <c r="H84" s="172"/>
      <c r="I84" s="172"/>
      <c r="J84" s="172"/>
      <c r="K84" s="172"/>
      <c r="L84" s="172"/>
      <c r="M84" s="172"/>
      <c r="N84" s="172"/>
      <c r="O84" s="172"/>
    </row>
    <row r="85" spans="1:15">
      <c r="A85" s="172"/>
      <c r="B85" s="172"/>
      <c r="C85" s="172"/>
      <c r="D85" s="172"/>
      <c r="E85" s="172"/>
      <c r="F85" s="172"/>
      <c r="G85" s="172"/>
      <c r="H85" s="172"/>
      <c r="I85" s="172"/>
      <c r="J85" s="172"/>
      <c r="K85" s="172"/>
      <c r="L85" s="172"/>
      <c r="M85" s="172"/>
      <c r="N85" s="172"/>
      <c r="O85" s="172"/>
    </row>
    <row r="86" spans="1:15">
      <c r="A86" s="172"/>
      <c r="B86" s="172"/>
      <c r="C86" s="172"/>
      <c r="D86" s="172"/>
      <c r="E86" s="172"/>
      <c r="F86" s="172"/>
      <c r="G86" s="172"/>
      <c r="H86" s="172"/>
      <c r="I86" s="172"/>
      <c r="J86" s="172"/>
      <c r="K86" s="172"/>
      <c r="L86" s="172"/>
      <c r="M86" s="172"/>
      <c r="N86" s="172"/>
      <c r="O86" s="172"/>
    </row>
    <row r="87" spans="1:15">
      <c r="A87" s="172"/>
      <c r="B87" s="172"/>
      <c r="C87" s="172"/>
      <c r="D87" s="172"/>
      <c r="E87" s="172"/>
      <c r="F87" s="172"/>
      <c r="G87" s="172"/>
      <c r="H87" s="172"/>
      <c r="I87" s="172"/>
      <c r="J87" s="172"/>
      <c r="K87" s="172"/>
      <c r="L87" s="172"/>
      <c r="M87" s="172"/>
      <c r="N87" s="172"/>
      <c r="O87" s="172"/>
    </row>
    <row r="88" spans="1:15">
      <c r="A88" s="172"/>
      <c r="B88" s="172"/>
      <c r="C88" s="172"/>
      <c r="D88" s="172"/>
      <c r="E88" s="172"/>
      <c r="F88" s="172"/>
      <c r="G88" s="172"/>
      <c r="H88" s="172"/>
      <c r="I88" s="172"/>
      <c r="J88" s="172"/>
      <c r="K88" s="172"/>
      <c r="L88" s="172"/>
      <c r="M88" s="172"/>
      <c r="N88" s="172"/>
      <c r="O88" s="172"/>
    </row>
    <row r="89" spans="1:15">
      <c r="A89" s="172"/>
      <c r="B89" s="172"/>
      <c r="C89" s="172"/>
      <c r="D89" s="172"/>
      <c r="E89" s="172"/>
      <c r="F89" s="172"/>
      <c r="G89" s="172"/>
      <c r="H89" s="172"/>
      <c r="I89" s="172"/>
      <c r="J89" s="172"/>
      <c r="K89" s="172"/>
      <c r="L89" s="172"/>
      <c r="M89" s="172"/>
      <c r="N89" s="172"/>
      <c r="O89" s="172"/>
    </row>
    <row r="90" spans="1:15">
      <c r="A90" s="172"/>
      <c r="B90" s="172"/>
      <c r="C90" s="172"/>
      <c r="D90" s="172"/>
      <c r="E90" s="172"/>
      <c r="F90" s="172"/>
      <c r="G90" s="172"/>
      <c r="H90" s="172"/>
      <c r="I90" s="172"/>
      <c r="J90" s="172"/>
      <c r="K90" s="172"/>
      <c r="L90" s="172"/>
      <c r="M90" s="172"/>
      <c r="N90" s="172"/>
      <c r="O90" s="172"/>
    </row>
    <row r="91" spans="1:15">
      <c r="A91" s="172"/>
      <c r="B91" s="172"/>
      <c r="C91" s="172"/>
      <c r="D91" s="172"/>
      <c r="E91" s="172"/>
      <c r="F91" s="172"/>
      <c r="G91" s="172"/>
      <c r="H91" s="172"/>
      <c r="I91" s="172"/>
      <c r="J91" s="172"/>
      <c r="K91" s="172"/>
      <c r="L91" s="172"/>
      <c r="M91" s="172"/>
      <c r="N91" s="172"/>
      <c r="O91" s="172"/>
    </row>
    <row r="92" spans="1:15">
      <c r="A92" s="172"/>
      <c r="B92" s="172"/>
      <c r="C92" s="172"/>
      <c r="D92" s="172"/>
      <c r="E92" s="172"/>
      <c r="F92" s="172"/>
      <c r="G92" s="172"/>
      <c r="H92" s="172"/>
      <c r="I92" s="172"/>
      <c r="J92" s="172"/>
      <c r="K92" s="172"/>
      <c r="L92" s="172"/>
      <c r="M92" s="172"/>
      <c r="N92" s="172"/>
      <c r="O92" s="172"/>
    </row>
    <row r="93" spans="1:15">
      <c r="A93" s="172"/>
      <c r="B93" s="172"/>
      <c r="C93" s="172"/>
      <c r="D93" s="172"/>
      <c r="E93" s="172"/>
      <c r="F93" s="172"/>
      <c r="G93" s="172"/>
      <c r="H93" s="172"/>
      <c r="I93" s="172"/>
      <c r="J93" s="172"/>
      <c r="K93" s="172"/>
      <c r="L93" s="172"/>
      <c r="M93" s="172"/>
      <c r="N93" s="172"/>
      <c r="O93" s="172"/>
    </row>
    <row r="94" spans="1:15">
      <c r="A94" s="172"/>
      <c r="B94" s="172"/>
      <c r="C94" s="172"/>
      <c r="D94" s="172"/>
      <c r="E94" s="172"/>
      <c r="F94" s="172"/>
      <c r="G94" s="172"/>
      <c r="H94" s="172"/>
      <c r="I94" s="172"/>
      <c r="J94" s="172"/>
      <c r="K94" s="172"/>
      <c r="L94" s="172"/>
      <c r="M94" s="172"/>
      <c r="N94" s="172"/>
      <c r="O94" s="172"/>
    </row>
    <row r="95" spans="1:15">
      <c r="A95" s="172"/>
      <c r="B95" s="172"/>
      <c r="C95" s="172"/>
      <c r="D95" s="172"/>
      <c r="E95" s="172"/>
      <c r="F95" s="172"/>
      <c r="G95" s="172"/>
      <c r="H95" s="172"/>
      <c r="I95" s="172"/>
      <c r="J95" s="172"/>
      <c r="K95" s="172"/>
      <c r="L95" s="172"/>
      <c r="M95" s="172"/>
      <c r="N95" s="172"/>
      <c r="O95" s="172"/>
    </row>
    <row r="96" spans="1:15">
      <c r="A96" s="172"/>
      <c r="B96" s="172"/>
      <c r="C96" s="172"/>
      <c r="D96" s="172"/>
      <c r="E96" s="172"/>
      <c r="F96" s="172"/>
      <c r="G96" s="172"/>
      <c r="H96" s="172"/>
      <c r="I96" s="172"/>
      <c r="J96" s="172"/>
      <c r="K96" s="172"/>
      <c r="L96" s="172"/>
      <c r="M96" s="172"/>
      <c r="N96" s="172"/>
      <c r="O96" s="172"/>
    </row>
    <row r="97" spans="1:15">
      <c r="A97" s="172"/>
      <c r="B97" s="172"/>
      <c r="C97" s="172"/>
      <c r="D97" s="172"/>
      <c r="E97" s="172"/>
      <c r="F97" s="172"/>
      <c r="G97" s="172"/>
      <c r="H97" s="172"/>
      <c r="I97" s="172"/>
      <c r="J97" s="172"/>
      <c r="K97" s="172"/>
      <c r="L97" s="172"/>
      <c r="M97" s="172"/>
      <c r="N97" s="172"/>
      <c r="O97" s="172"/>
    </row>
    <row r="98" spans="1:15">
      <c r="A98" s="172"/>
      <c r="B98" s="172"/>
      <c r="C98" s="172"/>
      <c r="D98" s="172"/>
      <c r="E98" s="172"/>
      <c r="F98" s="172"/>
      <c r="G98" s="172"/>
      <c r="H98" s="172"/>
      <c r="I98" s="172"/>
      <c r="J98" s="172"/>
      <c r="K98" s="172"/>
      <c r="L98" s="172"/>
      <c r="M98" s="172"/>
      <c r="N98" s="172"/>
      <c r="O98" s="172"/>
    </row>
    <row r="99" spans="1:15">
      <c r="A99" s="172"/>
      <c r="B99" s="172"/>
      <c r="C99" s="172"/>
      <c r="D99" s="172"/>
      <c r="E99" s="172"/>
      <c r="F99" s="172"/>
      <c r="G99" s="172"/>
      <c r="H99" s="172"/>
      <c r="I99" s="172"/>
      <c r="J99" s="172"/>
      <c r="K99" s="172"/>
      <c r="L99" s="172"/>
      <c r="M99" s="172"/>
      <c r="N99" s="172"/>
      <c r="O99" s="172"/>
    </row>
    <row r="100" spans="1:15">
      <c r="A100" s="172"/>
      <c r="B100" s="172"/>
      <c r="C100" s="172"/>
      <c r="D100" s="172"/>
      <c r="E100" s="172"/>
      <c r="F100" s="172"/>
      <c r="G100" s="172"/>
      <c r="H100" s="172"/>
      <c r="I100" s="172"/>
      <c r="J100" s="172"/>
      <c r="K100" s="172"/>
      <c r="L100" s="172"/>
      <c r="M100" s="172"/>
      <c r="N100" s="172"/>
      <c r="O100" s="172"/>
    </row>
    <row r="101" spans="1:15">
      <c r="A101" s="172"/>
      <c r="B101" s="172"/>
      <c r="C101" s="172"/>
      <c r="D101" s="172"/>
      <c r="E101" s="172"/>
      <c r="F101" s="172"/>
      <c r="G101" s="172"/>
      <c r="H101" s="172"/>
      <c r="I101" s="172"/>
      <c r="J101" s="172"/>
      <c r="K101" s="172"/>
      <c r="L101" s="172"/>
      <c r="M101" s="172"/>
      <c r="N101" s="172"/>
      <c r="O101" s="172"/>
    </row>
    <row r="102" spans="1:15">
      <c r="A102" s="172"/>
      <c r="B102" s="172"/>
      <c r="C102" s="172"/>
      <c r="D102" s="172"/>
      <c r="E102" s="172"/>
      <c r="F102" s="172"/>
      <c r="G102" s="172"/>
      <c r="H102" s="172"/>
      <c r="I102" s="172"/>
      <c r="J102" s="172"/>
      <c r="K102" s="172"/>
      <c r="L102" s="172"/>
      <c r="M102" s="172"/>
      <c r="N102" s="172"/>
      <c r="O102" s="172"/>
    </row>
    <row r="103" spans="1:15">
      <c r="A103" s="172"/>
      <c r="B103" s="172"/>
      <c r="C103" s="172"/>
      <c r="D103" s="172"/>
      <c r="E103" s="172"/>
      <c r="F103" s="172"/>
      <c r="G103" s="172"/>
      <c r="H103" s="172"/>
      <c r="I103" s="172"/>
      <c r="J103" s="172"/>
      <c r="K103" s="172"/>
      <c r="L103" s="172"/>
      <c r="M103" s="172"/>
      <c r="N103" s="172"/>
      <c r="O103" s="172"/>
    </row>
    <row r="104" spans="1:15">
      <c r="A104" s="172"/>
      <c r="B104" s="172"/>
      <c r="C104" s="172"/>
      <c r="D104" s="172"/>
      <c r="E104" s="172"/>
      <c r="F104" s="172"/>
      <c r="G104" s="172"/>
      <c r="H104" s="172"/>
      <c r="I104" s="172"/>
      <c r="J104" s="172"/>
      <c r="K104" s="172"/>
      <c r="L104" s="172"/>
      <c r="M104" s="172"/>
      <c r="N104" s="172"/>
      <c r="O104" s="172"/>
    </row>
    <row r="105" spans="1:15">
      <c r="A105" s="172"/>
      <c r="B105" s="172"/>
      <c r="C105" s="172"/>
      <c r="D105" s="172"/>
      <c r="E105" s="172"/>
      <c r="F105" s="172"/>
      <c r="G105" s="172"/>
      <c r="H105" s="172"/>
      <c r="I105" s="172"/>
      <c r="J105" s="172"/>
      <c r="K105" s="172"/>
      <c r="L105" s="172"/>
      <c r="M105" s="172"/>
      <c r="N105" s="172"/>
      <c r="O105" s="172"/>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4"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C21" sqref="C21"/>
    </sheetView>
  </sheetViews>
  <sheetFormatPr defaultColWidth="8.85546875" defaultRowHeight="12.75"/>
  <cols>
    <col min="1" max="1" width="9.140625" style="269" customWidth="1"/>
    <col min="2" max="2" width="65.140625" style="172" bestFit="1" customWidth="1"/>
    <col min="3" max="3" width="13.5703125" style="172" bestFit="1" customWidth="1"/>
    <col min="4" max="4" width="1.5703125" style="172" customWidth="1"/>
    <col min="5" max="5" width="15" style="172" bestFit="1" customWidth="1"/>
    <col min="6" max="16384" width="8.85546875" style="172"/>
  </cols>
  <sheetData>
    <row r="1" spans="1:15" ht="15.75">
      <c r="A1" s="995" t="s">
        <v>416</v>
      </c>
    </row>
    <row r="2" spans="1:15" ht="15.75">
      <c r="A2" s="995" t="s">
        <v>416</v>
      </c>
    </row>
    <row r="3" spans="1:15" ht="15">
      <c r="A3" s="1497" t="str">
        <f>TCOS!$F$5</f>
        <v>AEPTCo subsidiaries in PJM</v>
      </c>
      <c r="B3" s="1497" t="str">
        <f>TCOS!$F$5</f>
        <v>AEPTCo subsidiaries in PJM</v>
      </c>
      <c r="C3" s="1497" t="str">
        <f>TCOS!$F$5</f>
        <v>AEPTCo subsidiaries in PJM</v>
      </c>
      <c r="D3" s="1497" t="str">
        <f>TCOS!$F$5</f>
        <v>AEPTCo subsidiaries in PJM</v>
      </c>
      <c r="E3" s="1497" t="str">
        <f>TCOS!$F$5</f>
        <v>AEPTCo subsidiaries in PJM</v>
      </c>
      <c r="F3" s="413"/>
      <c r="G3" s="413"/>
      <c r="H3" s="413"/>
      <c r="I3" s="413"/>
      <c r="J3" s="413"/>
      <c r="K3" s="413"/>
      <c r="L3" s="413"/>
      <c r="M3" s="413"/>
      <c r="N3" s="413"/>
      <c r="O3" s="413"/>
    </row>
    <row r="4" spans="1:15" ht="15">
      <c r="A4" s="1528" t="str">
        <f>"Cost of Service Formula Rate Using Actual/Projected FF1 Balances"</f>
        <v>Cost of Service Formula Rate Using Actual/Projected FF1 Balances</v>
      </c>
      <c r="B4" s="1528"/>
      <c r="C4" s="1528"/>
      <c r="D4" s="1528"/>
      <c r="E4" s="1528"/>
      <c r="F4" s="415"/>
      <c r="G4" s="415"/>
      <c r="H4" s="415"/>
      <c r="I4" s="415"/>
      <c r="J4" s="415"/>
      <c r="K4" s="415"/>
      <c r="L4" s="415"/>
      <c r="M4" s="433"/>
      <c r="N4" s="433"/>
      <c r="O4" s="433"/>
    </row>
    <row r="5" spans="1:15" ht="15">
      <c r="A5" s="1528" t="s">
        <v>553</v>
      </c>
      <c r="B5" s="1528"/>
      <c r="C5" s="1528"/>
      <c r="D5" s="1528"/>
      <c r="E5" s="1528"/>
      <c r="F5" s="415"/>
      <c r="G5" s="415"/>
      <c r="H5" s="415"/>
      <c r="I5" s="415"/>
      <c r="J5" s="415"/>
      <c r="K5" s="415"/>
      <c r="L5" s="415"/>
      <c r="M5" s="415"/>
      <c r="N5" s="415"/>
      <c r="O5" s="415"/>
    </row>
    <row r="6" spans="1:15" ht="15">
      <c r="A6" s="1529" t="str">
        <f>TCOS!F9</f>
        <v>AEP Indiana Michigan Transmission Company</v>
      </c>
      <c r="B6" s="1529"/>
      <c r="C6" s="1529"/>
      <c r="D6" s="1529"/>
      <c r="E6" s="1529"/>
      <c r="F6" s="168"/>
      <c r="G6" s="168"/>
      <c r="H6" s="168"/>
      <c r="I6" s="168"/>
      <c r="J6" s="168"/>
      <c r="K6" s="168"/>
      <c r="L6" s="168"/>
      <c r="M6" s="168"/>
      <c r="N6" s="168"/>
      <c r="O6" s="168"/>
    </row>
    <row r="8" spans="1:15">
      <c r="A8" s="492" t="s">
        <v>469</v>
      </c>
      <c r="B8" s="493" t="s">
        <v>462</v>
      </c>
      <c r="C8" s="493" t="s">
        <v>463</v>
      </c>
    </row>
    <row r="9" spans="1:15">
      <c r="A9" s="492" t="s">
        <v>407</v>
      </c>
      <c r="B9" s="492" t="s">
        <v>467</v>
      </c>
      <c r="C9" s="492">
        <f>+TCOS!L4</f>
        <v>2022</v>
      </c>
    </row>
    <row r="10" spans="1:15">
      <c r="A10" s="494"/>
      <c r="B10" s="495"/>
      <c r="C10" s="493"/>
    </row>
    <row r="11" spans="1:15">
      <c r="A11" s="269">
        <v>1</v>
      </c>
      <c r="B11" s="1236" t="str">
        <f>"Net Funds from IPP Customers 12/31/"&amp;TCOS!L4-1&amp;" ("&amp;TCOS!L4&amp;" FORM 1, P269)"</f>
        <v>Net Funds from IPP Customers 12/31/2021 (2022 FORM 1, P269)</v>
      </c>
      <c r="C11" s="508">
        <v>0</v>
      </c>
      <c r="D11" s="384"/>
    </row>
    <row r="12" spans="1:15">
      <c r="B12" s="341"/>
      <c r="D12" s="384"/>
    </row>
    <row r="13" spans="1:15">
      <c r="A13" s="496">
        <v>2</v>
      </c>
      <c r="B13" s="1236" t="s">
        <v>261</v>
      </c>
      <c r="C13" s="508">
        <v>0</v>
      </c>
      <c r="D13" s="384"/>
    </row>
    <row r="14" spans="1:15">
      <c r="A14" s="496"/>
      <c r="B14" s="1236"/>
      <c r="D14" s="384"/>
    </row>
    <row r="15" spans="1:15">
      <c r="A15" s="496">
        <f>+A13+1</f>
        <v>3</v>
      </c>
      <c r="B15" s="1236" t="s">
        <v>339</v>
      </c>
      <c r="C15" s="508">
        <v>0</v>
      </c>
      <c r="D15" s="384"/>
    </row>
    <row r="16" spans="1:15">
      <c r="A16" s="496"/>
      <c r="B16" s="1236"/>
      <c r="D16" s="384"/>
    </row>
    <row r="17" spans="1:4">
      <c r="A17" s="496">
        <f>+A15+1</f>
        <v>4</v>
      </c>
      <c r="B17" s="1237" t="s">
        <v>0</v>
      </c>
      <c r="D17" s="384"/>
    </row>
    <row r="18" spans="1:4">
      <c r="A18" s="497">
        <f>+A17+1</f>
        <v>5</v>
      </c>
      <c r="B18" s="1236" t="s">
        <v>340</v>
      </c>
      <c r="C18" s="508">
        <v>0</v>
      </c>
      <c r="D18" s="384"/>
    </row>
    <row r="19" spans="1:4">
      <c r="A19" s="497">
        <f>+A18+1</f>
        <v>6</v>
      </c>
      <c r="B19" s="1238" t="s">
        <v>416</v>
      </c>
      <c r="C19" s="508">
        <v>0</v>
      </c>
      <c r="D19" s="384"/>
    </row>
    <row r="20" spans="1:4">
      <c r="A20" s="497"/>
      <c r="B20" s="341"/>
      <c r="C20" s="500"/>
      <c r="D20" s="384"/>
    </row>
    <row r="21" spans="1:4">
      <c r="A21" s="497">
        <f>+A19+1</f>
        <v>7</v>
      </c>
      <c r="B21" s="1236" t="str">
        <f>"Net Funds from IPP Customers 12/31/"&amp;TCOS!L4&amp;" ("&amp;TCOS!L4&amp;" FORM 1, P269)"</f>
        <v>Net Funds from IPP Customers 12/31/2022 (2022 FORM 1, P269)</v>
      </c>
      <c r="C21" s="501">
        <f>+C11+C13+C15+C18+C19</f>
        <v>0</v>
      </c>
      <c r="D21" s="502"/>
    </row>
    <row r="22" spans="1:4">
      <c r="A22" s="497"/>
      <c r="B22" s="499"/>
      <c r="D22" s="384"/>
    </row>
    <row r="23" spans="1:4">
      <c r="A23" s="497">
        <f>+A21+1</f>
        <v>8</v>
      </c>
      <c r="B23" s="498" t="str">
        <f>"Average Balance for Year as Indicated in Column ((ln "&amp;A11&amp;" + ln "&amp;A21&amp;")/2)"</f>
        <v>Average Balance for Year as Indicated in Column ((ln 1 + ln 7)/2)</v>
      </c>
      <c r="C23" s="503">
        <f>AVERAGE(C21,C11)</f>
        <v>0</v>
      </c>
      <c r="D23" s="384"/>
    </row>
    <row r="24" spans="1:4">
      <c r="A24" s="497"/>
      <c r="B24" s="499"/>
      <c r="D24" s="384"/>
    </row>
    <row r="25" spans="1:4">
      <c r="A25" s="497"/>
      <c r="B25" s="499"/>
      <c r="C25" s="501"/>
      <c r="D25" s="384"/>
    </row>
    <row r="26" spans="1:4" ht="15">
      <c r="A26" s="504" t="s">
        <v>297</v>
      </c>
      <c r="B26" s="1536" t="str">
        <f>"On this worksheet Company Records refers to  "&amp;A6&amp;"'s general ledger."</f>
        <v>On this worksheet Company Records refers to  AEP Indiana Michigan Transmission Company's general ledger.</v>
      </c>
      <c r="C26" s="402"/>
      <c r="D26" s="384"/>
    </row>
    <row r="27" spans="1:4">
      <c r="A27" s="505"/>
      <c r="B27" s="1537"/>
      <c r="D27" s="384"/>
    </row>
    <row r="28" spans="1:4">
      <c r="D28" s="384"/>
    </row>
    <row r="29" spans="1:4">
      <c r="D29" s="384"/>
    </row>
    <row r="30" spans="1:4">
      <c r="D30" s="384"/>
    </row>
    <row r="31" spans="1:4">
      <c r="D31" s="384"/>
    </row>
    <row r="32" spans="1:4">
      <c r="D32" s="506"/>
    </row>
    <row r="33" spans="1:4">
      <c r="D33" s="384"/>
    </row>
    <row r="34" spans="1:4">
      <c r="D34" s="384"/>
    </row>
    <row r="35" spans="1:4">
      <c r="D35" s="384"/>
    </row>
    <row r="36" spans="1:4">
      <c r="A36" s="494"/>
      <c r="B36" s="384"/>
      <c r="C36" s="384"/>
      <c r="D36" s="384"/>
    </row>
    <row r="37" spans="1:4">
      <c r="A37" s="494"/>
      <c r="B37" s="384"/>
      <c r="C37" s="384"/>
    </row>
    <row r="38" spans="1:4">
      <c r="C38" s="50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TM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D3FB770C-D543-49D5-8256-AAB8B2A0261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242AF5F-1390-4746-AD0B-ACD117B201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B-3-A 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Interest(2)</vt:lpstr>
      <vt:lpstr>NP_h</vt:lpstr>
      <vt:lpstr>NPh</vt:lpstr>
      <vt:lpstr>TCOS!Print_Area</vt:lpstr>
      <vt:lpstr>'Worksheet O'!Print_Area</vt:lpstr>
      <vt:lpstr>'WS B ADIT &amp; ITC'!Print_Area</vt:lpstr>
      <vt:lpstr>'WS B-3-A Remeas Suprt'!Print_Area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8b500daf-db39-4348-8c17-93ef522c52c1</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{D3FB770C-D543-49D5-8256-AAB8B2A0261A}</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